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360" windowHeight="9945"/>
  </bookViews>
  <sheets>
    <sheet name="Constants" sheetId="4" r:id="rId1"/>
    <sheet name="Daily" sheetId="5" r:id="rId2"/>
    <sheet name="Critical Month" sheetId="2" r:id="rId3"/>
  </sheets>
  <definedNames>
    <definedName name="AprDailyLossAbs">Constants!$I$16</definedName>
    <definedName name="AprDailyLossPct">Constants!$I$15</definedName>
    <definedName name="AprPowerUse">Constants!$I$14</definedName>
    <definedName name="AprSunHours">Constants!$I$13</definedName>
    <definedName name="AugDailyLossAbs">Constants!$M$16</definedName>
    <definedName name="AugDailyLossPct">Constants!$M$15</definedName>
    <definedName name="AugPowerUse">Constants!$M$14</definedName>
    <definedName name="AugSunHours">Constants!$M$13</definedName>
    <definedName name="DecDailyLossAbs">Constants!$Q$16</definedName>
    <definedName name="DecDailyLossPct">Constants!$Q$15</definedName>
    <definedName name="DecPowerUse">Constants!$Q$14</definedName>
    <definedName name="DecSunHours">Constants!$Q$13</definedName>
    <definedName name="FebDailyLossAbs">Constants!$G$16</definedName>
    <definedName name="FebDailyLossPct">Constants!$G$15</definedName>
    <definedName name="FebPowerUse">Constants!$G$14</definedName>
    <definedName name="FebSunHours">Constants!$G$13</definedName>
    <definedName name="JanDailyLossAbs">Constants!$F$16</definedName>
    <definedName name="JanDailyLossPct">Constants!$F$15</definedName>
    <definedName name="JanPowerUse">Constants!$F$14</definedName>
    <definedName name="JanSunHours">Constants!$F$13</definedName>
    <definedName name="JulDailyLossAbs">Constants!$L$16</definedName>
    <definedName name="JulDailyLossPct">Constants!$L$15</definedName>
    <definedName name="JulPowerUse">Constants!$L$14</definedName>
    <definedName name="JulSunHours">Constants!$L$13</definedName>
    <definedName name="JunDailyLossAbs">Constants!$K$16</definedName>
    <definedName name="JunDailyLossPct">Constants!$K$15</definedName>
    <definedName name="JunPowerUse">Constants!$K$14</definedName>
    <definedName name="JunSunHours">Constants!$K$13</definedName>
    <definedName name="MarDailyLossAbs">Constants!$H$16</definedName>
    <definedName name="MarDailyLossPct">Constants!$H$15</definedName>
    <definedName name="MarPowerUse">Constants!$H$14</definedName>
    <definedName name="MarSunHours">Constants!$H$13</definedName>
    <definedName name="MaxPowerStore">Constants!$H$8</definedName>
    <definedName name="MayDailyLossAbs">Constants!$J$16</definedName>
    <definedName name="MayDailyLossPct">Constants!$J$15</definedName>
    <definedName name="MayPowerUse">Constants!$J$14</definedName>
    <definedName name="MaySunHours">Constants!$J$13</definedName>
    <definedName name="MinWastedPower">Constants!$H$9</definedName>
    <definedName name="NovDailyLossAbs">Constants!$P$16</definedName>
    <definedName name="NovDailyLossPct">Constants!$P$15</definedName>
    <definedName name="NovPowerUse">Constants!$P$14</definedName>
    <definedName name="NovSunHours">Constants!$P$13</definedName>
    <definedName name="OctDailyLossAbs">Constants!$O$16</definedName>
    <definedName name="OctDailyLossPct">Constants!$O$15</definedName>
    <definedName name="OctPowerUse">Constants!$O$14</definedName>
    <definedName name="OctSunHours">Constants!$O$13</definedName>
    <definedName name="RoundtripEfficiency">Constants!$H$7</definedName>
    <definedName name="SepDailyLossAbs">Constants!$N$16</definedName>
    <definedName name="SepDailyLossPct">Constants!$N$15</definedName>
    <definedName name="SepPowerUse">Constants!$N$14</definedName>
    <definedName name="SepSunHours">Constants!$N$13</definedName>
    <definedName name="SolarEfficiency">Constants!$H$6</definedName>
    <definedName name="SolarMaxGenCap">Constants!$H$5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" l="1"/>
  <c r="H26" i="4"/>
  <c r="F24" i="2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AD24" i="2" s="1"/>
  <c r="AE24" i="2" s="1"/>
  <c r="AF24" i="2" s="1"/>
  <c r="AG24" i="2" s="1"/>
  <c r="AH24" i="2" s="1"/>
  <c r="E24" i="2"/>
  <c r="E23" i="2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W23" i="2" s="1"/>
  <c r="X23" i="2" s="1"/>
  <c r="Y23" i="2" s="1"/>
  <c r="Z23" i="2" s="1"/>
  <c r="AA23" i="2" s="1"/>
  <c r="AB23" i="2" s="1"/>
  <c r="AC23" i="2" s="1"/>
  <c r="AD23" i="2" s="1"/>
  <c r="AE23" i="2" s="1"/>
  <c r="AF23" i="2" s="1"/>
  <c r="AG23" i="2" s="1"/>
  <c r="AH23" i="2" s="1"/>
  <c r="E7" i="2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E5" i="2"/>
  <c r="F5" i="2" s="1"/>
  <c r="U14" i="4"/>
  <c r="U15" i="4"/>
  <c r="U16" i="4"/>
  <c r="U13" i="4"/>
  <c r="S13" i="4"/>
  <c r="S15" i="4"/>
  <c r="S16" i="4"/>
  <c r="T14" i="4"/>
  <c r="T15" i="4"/>
  <c r="T16" i="4"/>
  <c r="T13" i="4"/>
  <c r="S14" i="4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36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08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277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45" i="5"/>
  <c r="C24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16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18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55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24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9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63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3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2" i="5"/>
  <c r="D369" i="5"/>
  <c r="E369" i="5"/>
  <c r="G369" i="5"/>
  <c r="H369" i="5"/>
  <c r="C369" i="5"/>
  <c r="D337" i="5"/>
  <c r="E337" i="5" s="1"/>
  <c r="D338" i="5"/>
  <c r="E338" i="5" s="1"/>
  <c r="D339" i="5"/>
  <c r="E339" i="5" s="1"/>
  <c r="D340" i="5"/>
  <c r="E340" i="5" s="1"/>
  <c r="D341" i="5"/>
  <c r="E341" i="5" s="1"/>
  <c r="D342" i="5"/>
  <c r="E342" i="5" s="1"/>
  <c r="D343" i="5"/>
  <c r="E343" i="5" s="1"/>
  <c r="D344" i="5"/>
  <c r="E344" i="5" s="1"/>
  <c r="D345" i="5"/>
  <c r="E345" i="5" s="1"/>
  <c r="D346" i="5"/>
  <c r="E346" i="5" s="1"/>
  <c r="D347" i="5"/>
  <c r="E347" i="5" s="1"/>
  <c r="D348" i="5"/>
  <c r="E348" i="5" s="1"/>
  <c r="D349" i="5"/>
  <c r="E349" i="5" s="1"/>
  <c r="D350" i="5"/>
  <c r="E350" i="5" s="1"/>
  <c r="D351" i="5"/>
  <c r="E351" i="5" s="1"/>
  <c r="D352" i="5"/>
  <c r="E352" i="5" s="1"/>
  <c r="D353" i="5"/>
  <c r="E353" i="5" s="1"/>
  <c r="D354" i="5"/>
  <c r="E354" i="5" s="1"/>
  <c r="D355" i="5"/>
  <c r="E355" i="5" s="1"/>
  <c r="D356" i="5"/>
  <c r="E356" i="5" s="1"/>
  <c r="D357" i="5"/>
  <c r="E357" i="5" s="1"/>
  <c r="D358" i="5"/>
  <c r="E358" i="5" s="1"/>
  <c r="D359" i="5"/>
  <c r="E359" i="5" s="1"/>
  <c r="D360" i="5"/>
  <c r="E360" i="5" s="1"/>
  <c r="D361" i="5"/>
  <c r="E361" i="5" s="1"/>
  <c r="D362" i="5"/>
  <c r="E362" i="5" s="1"/>
  <c r="D363" i="5"/>
  <c r="E363" i="5" s="1"/>
  <c r="D364" i="5"/>
  <c r="E364" i="5" s="1"/>
  <c r="D365" i="5"/>
  <c r="E365" i="5" s="1"/>
  <c r="D366" i="5"/>
  <c r="E366" i="5" s="1"/>
  <c r="D336" i="5"/>
  <c r="E336" i="5" s="1"/>
  <c r="D309" i="5"/>
  <c r="E309" i="5" s="1"/>
  <c r="D310" i="5"/>
  <c r="E310" i="5" s="1"/>
  <c r="D311" i="5"/>
  <c r="E311" i="5" s="1"/>
  <c r="D312" i="5"/>
  <c r="E312" i="5" s="1"/>
  <c r="D313" i="5"/>
  <c r="E313" i="5" s="1"/>
  <c r="D314" i="5"/>
  <c r="E314" i="5" s="1"/>
  <c r="D315" i="5"/>
  <c r="E315" i="5" s="1"/>
  <c r="D316" i="5"/>
  <c r="E316" i="5" s="1"/>
  <c r="D317" i="5"/>
  <c r="E317" i="5" s="1"/>
  <c r="D318" i="5"/>
  <c r="E318" i="5" s="1"/>
  <c r="D319" i="5"/>
  <c r="E319" i="5" s="1"/>
  <c r="D320" i="5"/>
  <c r="E320" i="5" s="1"/>
  <c r="D321" i="5"/>
  <c r="E321" i="5" s="1"/>
  <c r="D322" i="5"/>
  <c r="E322" i="5" s="1"/>
  <c r="D323" i="5"/>
  <c r="E323" i="5" s="1"/>
  <c r="D324" i="5"/>
  <c r="E324" i="5" s="1"/>
  <c r="D325" i="5"/>
  <c r="E325" i="5" s="1"/>
  <c r="D326" i="5"/>
  <c r="E326" i="5" s="1"/>
  <c r="D327" i="5"/>
  <c r="E327" i="5" s="1"/>
  <c r="D328" i="5"/>
  <c r="E328" i="5" s="1"/>
  <c r="D329" i="5"/>
  <c r="E329" i="5" s="1"/>
  <c r="D330" i="5"/>
  <c r="E330" i="5" s="1"/>
  <c r="D331" i="5"/>
  <c r="E331" i="5" s="1"/>
  <c r="D332" i="5"/>
  <c r="E332" i="5" s="1"/>
  <c r="D333" i="5"/>
  <c r="E333" i="5" s="1"/>
  <c r="D334" i="5"/>
  <c r="E334" i="5" s="1"/>
  <c r="D335" i="5"/>
  <c r="E335" i="5" s="1"/>
  <c r="D308" i="5"/>
  <c r="E308" i="5" s="1"/>
  <c r="D278" i="5"/>
  <c r="E278" i="5" s="1"/>
  <c r="H278" i="5" s="1"/>
  <c r="D279" i="5"/>
  <c r="E279" i="5" s="1"/>
  <c r="H279" i="5" s="1"/>
  <c r="D280" i="5"/>
  <c r="E280" i="5" s="1"/>
  <c r="H280" i="5" s="1"/>
  <c r="D281" i="5"/>
  <c r="E281" i="5" s="1"/>
  <c r="H281" i="5" s="1"/>
  <c r="D282" i="5"/>
  <c r="E282" i="5" s="1"/>
  <c r="H282" i="5" s="1"/>
  <c r="D283" i="5"/>
  <c r="E283" i="5" s="1"/>
  <c r="H283" i="5" s="1"/>
  <c r="D284" i="5"/>
  <c r="E284" i="5" s="1"/>
  <c r="H284" i="5" s="1"/>
  <c r="D285" i="5"/>
  <c r="E285" i="5" s="1"/>
  <c r="H285" i="5" s="1"/>
  <c r="D286" i="5"/>
  <c r="E286" i="5" s="1"/>
  <c r="H286" i="5" s="1"/>
  <c r="D287" i="5"/>
  <c r="E287" i="5" s="1"/>
  <c r="H287" i="5" s="1"/>
  <c r="D288" i="5"/>
  <c r="E288" i="5" s="1"/>
  <c r="H288" i="5" s="1"/>
  <c r="D289" i="5"/>
  <c r="E289" i="5" s="1"/>
  <c r="H289" i="5" s="1"/>
  <c r="D290" i="5"/>
  <c r="E290" i="5" s="1"/>
  <c r="H290" i="5" s="1"/>
  <c r="D291" i="5"/>
  <c r="E291" i="5" s="1"/>
  <c r="H291" i="5" s="1"/>
  <c r="D292" i="5"/>
  <c r="E292" i="5" s="1"/>
  <c r="H292" i="5" s="1"/>
  <c r="D293" i="5"/>
  <c r="E293" i="5" s="1"/>
  <c r="H293" i="5" s="1"/>
  <c r="D294" i="5"/>
  <c r="E294" i="5" s="1"/>
  <c r="H294" i="5" s="1"/>
  <c r="D295" i="5"/>
  <c r="E295" i="5" s="1"/>
  <c r="H295" i="5" s="1"/>
  <c r="D296" i="5"/>
  <c r="E296" i="5" s="1"/>
  <c r="H296" i="5" s="1"/>
  <c r="D297" i="5"/>
  <c r="E297" i="5" s="1"/>
  <c r="H297" i="5" s="1"/>
  <c r="D298" i="5"/>
  <c r="E298" i="5" s="1"/>
  <c r="H298" i="5" s="1"/>
  <c r="D299" i="5"/>
  <c r="E299" i="5" s="1"/>
  <c r="H299" i="5" s="1"/>
  <c r="D300" i="5"/>
  <c r="E300" i="5" s="1"/>
  <c r="H300" i="5" s="1"/>
  <c r="D301" i="5"/>
  <c r="E301" i="5" s="1"/>
  <c r="H301" i="5" s="1"/>
  <c r="D302" i="5"/>
  <c r="E302" i="5" s="1"/>
  <c r="H302" i="5" s="1"/>
  <c r="D303" i="5"/>
  <c r="E303" i="5" s="1"/>
  <c r="H303" i="5" s="1"/>
  <c r="D304" i="5"/>
  <c r="E304" i="5" s="1"/>
  <c r="H304" i="5" s="1"/>
  <c r="D305" i="5"/>
  <c r="E305" i="5" s="1"/>
  <c r="H305" i="5" s="1"/>
  <c r="D306" i="5"/>
  <c r="E306" i="5" s="1"/>
  <c r="H306" i="5" s="1"/>
  <c r="D307" i="5"/>
  <c r="E307" i="5" s="1"/>
  <c r="H307" i="5" s="1"/>
  <c r="D277" i="5"/>
  <c r="E277" i="5" s="1"/>
  <c r="H277" i="5" s="1"/>
  <c r="D247" i="5"/>
  <c r="E247" i="5" s="1"/>
  <c r="H247" i="5" s="1"/>
  <c r="D248" i="5"/>
  <c r="E248" i="5" s="1"/>
  <c r="H248" i="5" s="1"/>
  <c r="D249" i="5"/>
  <c r="E249" i="5" s="1"/>
  <c r="H249" i="5" s="1"/>
  <c r="D250" i="5"/>
  <c r="E250" i="5" s="1"/>
  <c r="H250" i="5" s="1"/>
  <c r="D251" i="5"/>
  <c r="E251" i="5" s="1"/>
  <c r="H251" i="5" s="1"/>
  <c r="D252" i="5"/>
  <c r="E252" i="5" s="1"/>
  <c r="H252" i="5" s="1"/>
  <c r="D253" i="5"/>
  <c r="E253" i="5" s="1"/>
  <c r="H253" i="5" s="1"/>
  <c r="D254" i="5"/>
  <c r="E254" i="5" s="1"/>
  <c r="H254" i="5" s="1"/>
  <c r="D255" i="5"/>
  <c r="E255" i="5" s="1"/>
  <c r="H255" i="5" s="1"/>
  <c r="D256" i="5"/>
  <c r="E256" i="5" s="1"/>
  <c r="H256" i="5" s="1"/>
  <c r="D257" i="5"/>
  <c r="E257" i="5" s="1"/>
  <c r="H257" i="5" s="1"/>
  <c r="D258" i="5"/>
  <c r="E258" i="5" s="1"/>
  <c r="H258" i="5" s="1"/>
  <c r="D259" i="5"/>
  <c r="E259" i="5" s="1"/>
  <c r="H259" i="5" s="1"/>
  <c r="D260" i="5"/>
  <c r="E260" i="5" s="1"/>
  <c r="H260" i="5" s="1"/>
  <c r="D261" i="5"/>
  <c r="E261" i="5" s="1"/>
  <c r="H261" i="5" s="1"/>
  <c r="D262" i="5"/>
  <c r="E262" i="5" s="1"/>
  <c r="H262" i="5" s="1"/>
  <c r="D263" i="5"/>
  <c r="E263" i="5" s="1"/>
  <c r="H263" i="5" s="1"/>
  <c r="D264" i="5"/>
  <c r="E264" i="5" s="1"/>
  <c r="H264" i="5" s="1"/>
  <c r="D265" i="5"/>
  <c r="E265" i="5" s="1"/>
  <c r="H265" i="5" s="1"/>
  <c r="D266" i="5"/>
  <c r="E266" i="5" s="1"/>
  <c r="H266" i="5" s="1"/>
  <c r="D267" i="5"/>
  <c r="E267" i="5" s="1"/>
  <c r="H267" i="5" s="1"/>
  <c r="D268" i="5"/>
  <c r="E268" i="5" s="1"/>
  <c r="H268" i="5" s="1"/>
  <c r="D269" i="5"/>
  <c r="E269" i="5" s="1"/>
  <c r="H269" i="5" s="1"/>
  <c r="D270" i="5"/>
  <c r="E270" i="5" s="1"/>
  <c r="H270" i="5" s="1"/>
  <c r="D271" i="5"/>
  <c r="E271" i="5" s="1"/>
  <c r="H271" i="5" s="1"/>
  <c r="D272" i="5"/>
  <c r="E272" i="5" s="1"/>
  <c r="H272" i="5" s="1"/>
  <c r="D273" i="5"/>
  <c r="E273" i="5" s="1"/>
  <c r="H273" i="5" s="1"/>
  <c r="D274" i="5"/>
  <c r="E274" i="5" s="1"/>
  <c r="H274" i="5" s="1"/>
  <c r="D275" i="5"/>
  <c r="E275" i="5" s="1"/>
  <c r="H275" i="5" s="1"/>
  <c r="D276" i="5"/>
  <c r="E276" i="5" s="1"/>
  <c r="H276" i="5" s="1"/>
  <c r="D246" i="5"/>
  <c r="E246" i="5" s="1"/>
  <c r="H246" i="5" s="1"/>
  <c r="D217" i="5"/>
  <c r="E217" i="5" s="1"/>
  <c r="H217" i="5" s="1"/>
  <c r="D218" i="5"/>
  <c r="E218" i="5" s="1"/>
  <c r="H218" i="5" s="1"/>
  <c r="D219" i="5"/>
  <c r="E219" i="5" s="1"/>
  <c r="H219" i="5" s="1"/>
  <c r="D220" i="5"/>
  <c r="E220" i="5" s="1"/>
  <c r="H220" i="5" s="1"/>
  <c r="D221" i="5"/>
  <c r="E221" i="5" s="1"/>
  <c r="H221" i="5" s="1"/>
  <c r="D222" i="5"/>
  <c r="E222" i="5" s="1"/>
  <c r="H222" i="5" s="1"/>
  <c r="D223" i="5"/>
  <c r="E223" i="5" s="1"/>
  <c r="H223" i="5" s="1"/>
  <c r="D224" i="5"/>
  <c r="E224" i="5" s="1"/>
  <c r="H224" i="5" s="1"/>
  <c r="D225" i="5"/>
  <c r="E225" i="5" s="1"/>
  <c r="H225" i="5" s="1"/>
  <c r="D226" i="5"/>
  <c r="E226" i="5" s="1"/>
  <c r="H226" i="5" s="1"/>
  <c r="D227" i="5"/>
  <c r="E227" i="5" s="1"/>
  <c r="H227" i="5" s="1"/>
  <c r="D228" i="5"/>
  <c r="E228" i="5" s="1"/>
  <c r="H228" i="5" s="1"/>
  <c r="D229" i="5"/>
  <c r="E229" i="5" s="1"/>
  <c r="H229" i="5" s="1"/>
  <c r="D230" i="5"/>
  <c r="E230" i="5" s="1"/>
  <c r="H230" i="5" s="1"/>
  <c r="D231" i="5"/>
  <c r="E231" i="5" s="1"/>
  <c r="H231" i="5" s="1"/>
  <c r="D232" i="5"/>
  <c r="E232" i="5" s="1"/>
  <c r="H232" i="5" s="1"/>
  <c r="D233" i="5"/>
  <c r="E233" i="5" s="1"/>
  <c r="H233" i="5" s="1"/>
  <c r="D234" i="5"/>
  <c r="E234" i="5" s="1"/>
  <c r="H234" i="5" s="1"/>
  <c r="D235" i="5"/>
  <c r="E235" i="5" s="1"/>
  <c r="H235" i="5" s="1"/>
  <c r="D236" i="5"/>
  <c r="E236" i="5" s="1"/>
  <c r="H236" i="5" s="1"/>
  <c r="D237" i="5"/>
  <c r="E237" i="5" s="1"/>
  <c r="H237" i="5" s="1"/>
  <c r="D238" i="5"/>
  <c r="E238" i="5" s="1"/>
  <c r="H238" i="5" s="1"/>
  <c r="D239" i="5"/>
  <c r="E239" i="5" s="1"/>
  <c r="H239" i="5" s="1"/>
  <c r="D240" i="5"/>
  <c r="E240" i="5" s="1"/>
  <c r="H240" i="5" s="1"/>
  <c r="D241" i="5"/>
  <c r="E241" i="5" s="1"/>
  <c r="H241" i="5" s="1"/>
  <c r="D242" i="5"/>
  <c r="E242" i="5" s="1"/>
  <c r="H242" i="5" s="1"/>
  <c r="D243" i="5"/>
  <c r="E243" i="5" s="1"/>
  <c r="H243" i="5" s="1"/>
  <c r="D244" i="5"/>
  <c r="E244" i="5" s="1"/>
  <c r="H244" i="5" s="1"/>
  <c r="D245" i="5"/>
  <c r="E245" i="5" s="1"/>
  <c r="H245" i="5" s="1"/>
  <c r="D216" i="5"/>
  <c r="E216" i="5" s="1"/>
  <c r="H216" i="5" s="1"/>
  <c r="D186" i="5"/>
  <c r="E186" i="5" s="1"/>
  <c r="D187" i="5"/>
  <c r="E187" i="5" s="1"/>
  <c r="D188" i="5"/>
  <c r="E188" i="5" s="1"/>
  <c r="D189" i="5"/>
  <c r="E189" i="5" s="1"/>
  <c r="D190" i="5"/>
  <c r="E190" i="5" s="1"/>
  <c r="D191" i="5"/>
  <c r="E191" i="5" s="1"/>
  <c r="D192" i="5"/>
  <c r="E192" i="5" s="1"/>
  <c r="D193" i="5"/>
  <c r="E193" i="5" s="1"/>
  <c r="D194" i="5"/>
  <c r="E194" i="5" s="1"/>
  <c r="D195" i="5"/>
  <c r="E195" i="5" s="1"/>
  <c r="D196" i="5"/>
  <c r="E196" i="5" s="1"/>
  <c r="D197" i="5"/>
  <c r="E197" i="5" s="1"/>
  <c r="D198" i="5"/>
  <c r="E198" i="5" s="1"/>
  <c r="D199" i="5"/>
  <c r="E199" i="5" s="1"/>
  <c r="D200" i="5"/>
  <c r="E200" i="5" s="1"/>
  <c r="D201" i="5"/>
  <c r="E201" i="5" s="1"/>
  <c r="D202" i="5"/>
  <c r="E202" i="5" s="1"/>
  <c r="D203" i="5"/>
  <c r="E203" i="5" s="1"/>
  <c r="D204" i="5"/>
  <c r="E204" i="5" s="1"/>
  <c r="D205" i="5"/>
  <c r="E205" i="5" s="1"/>
  <c r="D206" i="5"/>
  <c r="E206" i="5" s="1"/>
  <c r="D207" i="5"/>
  <c r="E207" i="5" s="1"/>
  <c r="D208" i="5"/>
  <c r="E208" i="5" s="1"/>
  <c r="D209" i="5"/>
  <c r="E209" i="5" s="1"/>
  <c r="D210" i="5"/>
  <c r="E210" i="5" s="1"/>
  <c r="D211" i="5"/>
  <c r="E211" i="5" s="1"/>
  <c r="D212" i="5"/>
  <c r="E212" i="5" s="1"/>
  <c r="D213" i="5"/>
  <c r="E213" i="5" s="1"/>
  <c r="D214" i="5"/>
  <c r="E214" i="5" s="1"/>
  <c r="D215" i="5"/>
  <c r="E215" i="5" s="1"/>
  <c r="D185" i="5"/>
  <c r="E185" i="5" s="1"/>
  <c r="D156" i="5"/>
  <c r="E156" i="5" s="1"/>
  <c r="D157" i="5"/>
  <c r="E157" i="5" s="1"/>
  <c r="D158" i="5"/>
  <c r="E158" i="5" s="1"/>
  <c r="D159" i="5"/>
  <c r="E159" i="5" s="1"/>
  <c r="D160" i="5"/>
  <c r="E160" i="5" s="1"/>
  <c r="D161" i="5"/>
  <c r="E161" i="5" s="1"/>
  <c r="D162" i="5"/>
  <c r="E162" i="5" s="1"/>
  <c r="D163" i="5"/>
  <c r="E163" i="5" s="1"/>
  <c r="D164" i="5"/>
  <c r="E164" i="5" s="1"/>
  <c r="D165" i="5"/>
  <c r="E165" i="5" s="1"/>
  <c r="D166" i="5"/>
  <c r="E166" i="5" s="1"/>
  <c r="D167" i="5"/>
  <c r="E167" i="5" s="1"/>
  <c r="D168" i="5"/>
  <c r="E168" i="5" s="1"/>
  <c r="D169" i="5"/>
  <c r="E169" i="5" s="1"/>
  <c r="D170" i="5"/>
  <c r="E170" i="5" s="1"/>
  <c r="D171" i="5"/>
  <c r="E171" i="5" s="1"/>
  <c r="D172" i="5"/>
  <c r="E172" i="5" s="1"/>
  <c r="D173" i="5"/>
  <c r="E173" i="5" s="1"/>
  <c r="D174" i="5"/>
  <c r="E174" i="5" s="1"/>
  <c r="D175" i="5"/>
  <c r="E175" i="5" s="1"/>
  <c r="D176" i="5"/>
  <c r="E176" i="5" s="1"/>
  <c r="D177" i="5"/>
  <c r="E177" i="5" s="1"/>
  <c r="D178" i="5"/>
  <c r="E178" i="5" s="1"/>
  <c r="D179" i="5"/>
  <c r="E179" i="5" s="1"/>
  <c r="D180" i="5"/>
  <c r="E180" i="5" s="1"/>
  <c r="D181" i="5"/>
  <c r="E181" i="5" s="1"/>
  <c r="D182" i="5"/>
  <c r="E182" i="5" s="1"/>
  <c r="D183" i="5"/>
  <c r="E183" i="5" s="1"/>
  <c r="D184" i="5"/>
  <c r="E184" i="5" s="1"/>
  <c r="D155" i="5"/>
  <c r="E155" i="5" s="1"/>
  <c r="D125" i="5"/>
  <c r="E125" i="5" s="1"/>
  <c r="D126" i="5"/>
  <c r="E126" i="5" s="1"/>
  <c r="D127" i="5"/>
  <c r="E127" i="5" s="1"/>
  <c r="D128" i="5"/>
  <c r="E128" i="5" s="1"/>
  <c r="D129" i="5"/>
  <c r="E129" i="5" s="1"/>
  <c r="D130" i="5"/>
  <c r="E130" i="5" s="1"/>
  <c r="D131" i="5"/>
  <c r="E131" i="5" s="1"/>
  <c r="D132" i="5"/>
  <c r="E132" i="5" s="1"/>
  <c r="D133" i="5"/>
  <c r="E133" i="5" s="1"/>
  <c r="D134" i="5"/>
  <c r="E134" i="5" s="1"/>
  <c r="D135" i="5"/>
  <c r="E135" i="5" s="1"/>
  <c r="D136" i="5"/>
  <c r="E136" i="5" s="1"/>
  <c r="D137" i="5"/>
  <c r="E137" i="5" s="1"/>
  <c r="D138" i="5"/>
  <c r="E138" i="5" s="1"/>
  <c r="D139" i="5"/>
  <c r="E139" i="5" s="1"/>
  <c r="D140" i="5"/>
  <c r="E140" i="5" s="1"/>
  <c r="D141" i="5"/>
  <c r="E141" i="5" s="1"/>
  <c r="D142" i="5"/>
  <c r="E142" i="5" s="1"/>
  <c r="D143" i="5"/>
  <c r="E143" i="5" s="1"/>
  <c r="D144" i="5"/>
  <c r="E144" i="5" s="1"/>
  <c r="D145" i="5"/>
  <c r="E145" i="5" s="1"/>
  <c r="D146" i="5"/>
  <c r="E146" i="5" s="1"/>
  <c r="D147" i="5"/>
  <c r="E147" i="5" s="1"/>
  <c r="D148" i="5"/>
  <c r="E148" i="5" s="1"/>
  <c r="D149" i="5"/>
  <c r="E149" i="5" s="1"/>
  <c r="D150" i="5"/>
  <c r="E150" i="5" s="1"/>
  <c r="D151" i="5"/>
  <c r="E151" i="5" s="1"/>
  <c r="D152" i="5"/>
  <c r="E152" i="5" s="1"/>
  <c r="D153" i="5"/>
  <c r="E153" i="5" s="1"/>
  <c r="D154" i="5"/>
  <c r="E154" i="5" s="1"/>
  <c r="D124" i="5"/>
  <c r="E124" i="5" s="1"/>
  <c r="D94" i="5"/>
  <c r="E94" i="5" s="1"/>
  <c r="D95" i="5"/>
  <c r="E95" i="5" s="1"/>
  <c r="D96" i="5"/>
  <c r="E96" i="5" s="1"/>
  <c r="D97" i="5"/>
  <c r="E97" i="5" s="1"/>
  <c r="D98" i="5"/>
  <c r="E98" i="5" s="1"/>
  <c r="D99" i="5"/>
  <c r="E99" i="5" s="1"/>
  <c r="D100" i="5"/>
  <c r="E100" i="5" s="1"/>
  <c r="D101" i="5"/>
  <c r="E101" i="5" s="1"/>
  <c r="D102" i="5"/>
  <c r="E102" i="5" s="1"/>
  <c r="D103" i="5"/>
  <c r="E103" i="5" s="1"/>
  <c r="D104" i="5"/>
  <c r="E104" i="5" s="1"/>
  <c r="D105" i="5"/>
  <c r="E105" i="5" s="1"/>
  <c r="D106" i="5"/>
  <c r="E106" i="5" s="1"/>
  <c r="D107" i="5"/>
  <c r="E107" i="5" s="1"/>
  <c r="D108" i="5"/>
  <c r="E108" i="5" s="1"/>
  <c r="D109" i="5"/>
  <c r="E109" i="5" s="1"/>
  <c r="D110" i="5"/>
  <c r="E110" i="5" s="1"/>
  <c r="D111" i="5"/>
  <c r="E111" i="5" s="1"/>
  <c r="D112" i="5"/>
  <c r="E112" i="5" s="1"/>
  <c r="D113" i="5"/>
  <c r="E113" i="5" s="1"/>
  <c r="D114" i="5"/>
  <c r="E114" i="5" s="1"/>
  <c r="D115" i="5"/>
  <c r="E115" i="5" s="1"/>
  <c r="D116" i="5"/>
  <c r="E116" i="5" s="1"/>
  <c r="D117" i="5"/>
  <c r="E117" i="5" s="1"/>
  <c r="D118" i="5"/>
  <c r="E118" i="5" s="1"/>
  <c r="D119" i="5"/>
  <c r="E119" i="5" s="1"/>
  <c r="D120" i="5"/>
  <c r="E120" i="5" s="1"/>
  <c r="D121" i="5"/>
  <c r="E121" i="5" s="1"/>
  <c r="D122" i="5"/>
  <c r="E122" i="5" s="1"/>
  <c r="D123" i="5"/>
  <c r="E123" i="5" s="1"/>
  <c r="D93" i="5"/>
  <c r="E93" i="5" s="1"/>
  <c r="D64" i="5"/>
  <c r="E64" i="5" s="1"/>
  <c r="D65" i="5"/>
  <c r="E65" i="5" s="1"/>
  <c r="D66" i="5"/>
  <c r="E66" i="5" s="1"/>
  <c r="D67" i="5"/>
  <c r="E67" i="5" s="1"/>
  <c r="D68" i="5"/>
  <c r="E68" i="5" s="1"/>
  <c r="D69" i="5"/>
  <c r="E69" i="5" s="1"/>
  <c r="D70" i="5"/>
  <c r="E70" i="5" s="1"/>
  <c r="D71" i="5"/>
  <c r="E71" i="5" s="1"/>
  <c r="D72" i="5"/>
  <c r="E72" i="5" s="1"/>
  <c r="D73" i="5"/>
  <c r="E73" i="5" s="1"/>
  <c r="D74" i="5"/>
  <c r="E74" i="5" s="1"/>
  <c r="D75" i="5"/>
  <c r="E75" i="5" s="1"/>
  <c r="D76" i="5"/>
  <c r="E76" i="5" s="1"/>
  <c r="D77" i="5"/>
  <c r="E77" i="5" s="1"/>
  <c r="D78" i="5"/>
  <c r="E78" i="5" s="1"/>
  <c r="D79" i="5"/>
  <c r="E79" i="5" s="1"/>
  <c r="D80" i="5"/>
  <c r="E80" i="5" s="1"/>
  <c r="D81" i="5"/>
  <c r="E81" i="5" s="1"/>
  <c r="D82" i="5"/>
  <c r="E82" i="5" s="1"/>
  <c r="D83" i="5"/>
  <c r="E83" i="5" s="1"/>
  <c r="D84" i="5"/>
  <c r="E84" i="5" s="1"/>
  <c r="D85" i="5"/>
  <c r="E85" i="5" s="1"/>
  <c r="D86" i="5"/>
  <c r="E86" i="5" s="1"/>
  <c r="D87" i="5"/>
  <c r="E87" i="5" s="1"/>
  <c r="D88" i="5"/>
  <c r="E88" i="5" s="1"/>
  <c r="D89" i="5"/>
  <c r="E89" i="5" s="1"/>
  <c r="D90" i="5"/>
  <c r="E90" i="5" s="1"/>
  <c r="D91" i="5"/>
  <c r="E91" i="5" s="1"/>
  <c r="D92" i="5"/>
  <c r="E92" i="5" s="1"/>
  <c r="D63" i="5"/>
  <c r="E63" i="5" s="1"/>
  <c r="D33" i="5"/>
  <c r="E33" i="5" s="1"/>
  <c r="D34" i="5"/>
  <c r="E34" i="5" s="1"/>
  <c r="D35" i="5"/>
  <c r="E35" i="5" s="1"/>
  <c r="D36" i="5"/>
  <c r="E36" i="5" s="1"/>
  <c r="D37" i="5"/>
  <c r="E37" i="5" s="1"/>
  <c r="D38" i="5"/>
  <c r="E38" i="5" s="1"/>
  <c r="D39" i="5"/>
  <c r="E39" i="5" s="1"/>
  <c r="D40" i="5"/>
  <c r="E40" i="5" s="1"/>
  <c r="D41" i="5"/>
  <c r="E41" i="5" s="1"/>
  <c r="D42" i="5"/>
  <c r="E42" i="5" s="1"/>
  <c r="D43" i="5"/>
  <c r="E43" i="5" s="1"/>
  <c r="D44" i="5"/>
  <c r="E44" i="5" s="1"/>
  <c r="D45" i="5"/>
  <c r="E45" i="5" s="1"/>
  <c r="D46" i="5"/>
  <c r="E46" i="5" s="1"/>
  <c r="D47" i="5"/>
  <c r="E47" i="5" s="1"/>
  <c r="D48" i="5"/>
  <c r="E48" i="5" s="1"/>
  <c r="D49" i="5"/>
  <c r="E49" i="5" s="1"/>
  <c r="D50" i="5"/>
  <c r="E50" i="5" s="1"/>
  <c r="D51" i="5"/>
  <c r="E51" i="5" s="1"/>
  <c r="D52" i="5"/>
  <c r="E52" i="5" s="1"/>
  <c r="D53" i="5"/>
  <c r="E53" i="5" s="1"/>
  <c r="D54" i="5"/>
  <c r="E54" i="5" s="1"/>
  <c r="D55" i="5"/>
  <c r="E55" i="5" s="1"/>
  <c r="D56" i="5"/>
  <c r="E56" i="5" s="1"/>
  <c r="D57" i="5"/>
  <c r="E57" i="5" s="1"/>
  <c r="D58" i="5"/>
  <c r="E58" i="5" s="1"/>
  <c r="D59" i="5"/>
  <c r="E59" i="5" s="1"/>
  <c r="D60" i="5"/>
  <c r="E60" i="5" s="1"/>
  <c r="D61" i="5"/>
  <c r="E61" i="5" s="1"/>
  <c r="D62" i="5"/>
  <c r="E62" i="5" s="1"/>
  <c r="D32" i="5"/>
  <c r="E32" i="5" s="1"/>
  <c r="D3" i="5"/>
  <c r="E3" i="5" s="1"/>
  <c r="D4" i="5"/>
  <c r="E4" i="5" s="1"/>
  <c r="D5" i="5"/>
  <c r="E5" i="5" s="1"/>
  <c r="D6" i="5"/>
  <c r="E6" i="5" s="1"/>
  <c r="D7" i="5"/>
  <c r="E7" i="5" s="1"/>
  <c r="D8" i="5"/>
  <c r="E8" i="5" s="1"/>
  <c r="D9" i="5"/>
  <c r="E9" i="5" s="1"/>
  <c r="D10" i="5"/>
  <c r="E10" i="5" s="1"/>
  <c r="D11" i="5"/>
  <c r="E11" i="5" s="1"/>
  <c r="D12" i="5"/>
  <c r="E12" i="5" s="1"/>
  <c r="D13" i="5"/>
  <c r="E13" i="5" s="1"/>
  <c r="D14" i="5"/>
  <c r="E14" i="5" s="1"/>
  <c r="D15" i="5"/>
  <c r="E15" i="5" s="1"/>
  <c r="D16" i="5"/>
  <c r="E16" i="5" s="1"/>
  <c r="D17" i="5"/>
  <c r="E17" i="5" s="1"/>
  <c r="D18" i="5"/>
  <c r="E18" i="5" s="1"/>
  <c r="D19" i="5"/>
  <c r="E19" i="5" s="1"/>
  <c r="D20" i="5"/>
  <c r="E20" i="5" s="1"/>
  <c r="D21" i="5"/>
  <c r="E21" i="5" s="1"/>
  <c r="D22" i="5"/>
  <c r="E22" i="5" s="1"/>
  <c r="D23" i="5"/>
  <c r="E23" i="5" s="1"/>
  <c r="D24" i="5"/>
  <c r="E24" i="5" s="1"/>
  <c r="D25" i="5"/>
  <c r="E25" i="5" s="1"/>
  <c r="D26" i="5"/>
  <c r="E26" i="5" s="1"/>
  <c r="D27" i="5"/>
  <c r="E27" i="5" s="1"/>
  <c r="D28" i="5"/>
  <c r="E28" i="5" s="1"/>
  <c r="D29" i="5"/>
  <c r="E29" i="5" s="1"/>
  <c r="D30" i="5"/>
  <c r="E30" i="5" s="1"/>
  <c r="D31" i="5"/>
  <c r="E31" i="5" s="1"/>
  <c r="D2" i="5"/>
  <c r="E2" i="5" s="1"/>
  <c r="F2" i="5" s="1"/>
  <c r="R13" i="4"/>
  <c r="F16" i="2"/>
  <c r="G16" i="2" s="1"/>
  <c r="H16" i="2" s="1"/>
  <c r="I16" i="2" s="1"/>
  <c r="J16" i="2" s="1"/>
  <c r="K16" i="2" s="1"/>
  <c r="E16" i="2"/>
  <c r="E20" i="2"/>
  <c r="F20" i="2" s="1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AG20" i="2" s="1"/>
  <c r="AH20" i="2" s="1"/>
  <c r="E19" i="2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AG19" i="2" s="1"/>
  <c r="AH19" i="2" s="1"/>
  <c r="E13" i="2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AA13" i="2" s="1"/>
  <c r="AB13" i="2" s="1"/>
  <c r="AC13" i="2" s="1"/>
  <c r="AD13" i="2" s="1"/>
  <c r="AE13" i="2" s="1"/>
  <c r="AF13" i="2" s="1"/>
  <c r="AG13" i="2" s="1"/>
  <c r="AH13" i="2" s="1"/>
  <c r="E12" i="2"/>
  <c r="D8" i="2"/>
  <c r="D10" i="2" s="1"/>
  <c r="D14" i="2" s="1"/>
  <c r="D17" i="2" s="1"/>
  <c r="D26" i="2" s="1"/>
  <c r="E8" i="2" l="1"/>
  <c r="E10" i="2" s="1"/>
  <c r="E14" i="2" s="1"/>
  <c r="E17" i="2" s="1"/>
  <c r="E21" i="2" s="1"/>
  <c r="H28" i="4"/>
  <c r="G5" i="2"/>
  <c r="F8" i="2"/>
  <c r="F10" i="2" s="1"/>
  <c r="H5" i="2"/>
  <c r="G8" i="2"/>
  <c r="G10" i="2" s="1"/>
  <c r="F3" i="5"/>
  <c r="C370" i="5"/>
  <c r="D370" i="5"/>
  <c r="E370" i="5"/>
  <c r="L16" i="2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AH16" i="2" s="1"/>
  <c r="D21" i="2"/>
  <c r="F12" i="2"/>
  <c r="F14" i="2" l="1"/>
  <c r="F17" i="2" s="1"/>
  <c r="F21" i="2" s="1"/>
  <c r="E26" i="2"/>
  <c r="I5" i="2"/>
  <c r="H8" i="2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G3" i="5"/>
  <c r="H3" i="5" s="1"/>
  <c r="G12" i="2"/>
  <c r="G14" i="2" s="1"/>
  <c r="F26" i="2" l="1"/>
  <c r="H10" i="2"/>
  <c r="I8" i="2"/>
  <c r="I10" i="2" s="1"/>
  <c r="J5" i="2"/>
  <c r="G4" i="5"/>
  <c r="H4" i="5" s="1"/>
  <c r="G5" i="5"/>
  <c r="G17" i="2"/>
  <c r="G21" i="2" s="1"/>
  <c r="H12" i="2"/>
  <c r="H14" i="2" l="1"/>
  <c r="H17" i="2" s="1"/>
  <c r="H21" i="2" s="1"/>
  <c r="G26" i="2"/>
  <c r="J8" i="2"/>
  <c r="J10" i="2" s="1"/>
  <c r="K5" i="2"/>
  <c r="H5" i="5"/>
  <c r="G6" i="5"/>
  <c r="H6" i="5" s="1"/>
  <c r="I12" i="2"/>
  <c r="I14" i="2" s="1"/>
  <c r="H26" i="2" l="1"/>
  <c r="K8" i="2"/>
  <c r="L5" i="2"/>
  <c r="G7" i="5"/>
  <c r="H7" i="5" s="1"/>
  <c r="I17" i="2"/>
  <c r="I21" i="2" s="1"/>
  <c r="J12" i="2"/>
  <c r="J14" i="2" s="1"/>
  <c r="I26" i="2" l="1"/>
  <c r="L8" i="2"/>
  <c r="L10" i="2" s="1"/>
  <c r="M5" i="2"/>
  <c r="K10" i="2"/>
  <c r="G8" i="5"/>
  <c r="J17" i="2"/>
  <c r="J21" i="2" s="1"/>
  <c r="K12" i="2"/>
  <c r="K14" i="2" l="1"/>
  <c r="J26" i="2"/>
  <c r="N5" i="2"/>
  <c r="M8" i="2"/>
  <c r="G9" i="5"/>
  <c r="H9" i="5" s="1"/>
  <c r="H8" i="5"/>
  <c r="K17" i="2"/>
  <c r="L12" i="2"/>
  <c r="L14" i="2" s="1"/>
  <c r="K26" i="2" l="1"/>
  <c r="M10" i="2"/>
  <c r="O5" i="2"/>
  <c r="N8" i="2"/>
  <c r="N10" i="2" s="1"/>
  <c r="G10" i="5"/>
  <c r="H10" i="5" s="1"/>
  <c r="K21" i="2"/>
  <c r="L17" i="2"/>
  <c r="L21" i="2" s="1"/>
  <c r="M12" i="2"/>
  <c r="M14" i="2" l="1"/>
  <c r="M17" i="2" s="1"/>
  <c r="M21" i="2" s="1"/>
  <c r="L26" i="2"/>
  <c r="P5" i="2"/>
  <c r="O8" i="2"/>
  <c r="O10" i="2" s="1"/>
  <c r="G11" i="5"/>
  <c r="H11" i="5" s="1"/>
  <c r="N12" i="2"/>
  <c r="N14" i="2" s="1"/>
  <c r="M26" i="2" l="1"/>
  <c r="P8" i="2"/>
  <c r="P10" i="2" s="1"/>
  <c r="Q5" i="2"/>
  <c r="G12" i="5"/>
  <c r="H12" i="5" s="1"/>
  <c r="N17" i="2"/>
  <c r="N21" i="2" s="1"/>
  <c r="O12" i="2"/>
  <c r="O14" i="2" s="1"/>
  <c r="N26" i="2" l="1"/>
  <c r="Q8" i="2"/>
  <c r="Q10" i="2" s="1"/>
  <c r="R5" i="2"/>
  <c r="G13" i="5"/>
  <c r="H13" i="5" s="1"/>
  <c r="O17" i="2"/>
  <c r="O21" i="2" s="1"/>
  <c r="P12" i="2"/>
  <c r="P14" i="2" s="1"/>
  <c r="O26" i="2" l="1"/>
  <c r="R8" i="2"/>
  <c r="R10" i="2" s="1"/>
  <c r="S5" i="2"/>
  <c r="G14" i="5"/>
  <c r="H14" i="5" s="1"/>
  <c r="P17" i="2"/>
  <c r="Q12" i="2"/>
  <c r="Q14" i="2" s="1"/>
  <c r="S8" i="2" l="1"/>
  <c r="S10" i="2" s="1"/>
  <c r="T5" i="2"/>
  <c r="G15" i="5"/>
  <c r="H15" i="5" s="1"/>
  <c r="P21" i="2"/>
  <c r="P26" i="2" s="1"/>
  <c r="R12" i="2"/>
  <c r="R14" i="2" s="1"/>
  <c r="Q17" i="2"/>
  <c r="Q21" i="2" s="1"/>
  <c r="Q26" i="2" l="1"/>
  <c r="T8" i="2"/>
  <c r="T10" i="2" s="1"/>
  <c r="U5" i="2"/>
  <c r="G16" i="5"/>
  <c r="H16" i="5" s="1"/>
  <c r="R17" i="2"/>
  <c r="R21" i="2" s="1"/>
  <c r="S12" i="2"/>
  <c r="S14" i="2" s="1"/>
  <c r="R26" i="2" l="1"/>
  <c r="V5" i="2"/>
  <c r="U8" i="2"/>
  <c r="U10" i="2" s="1"/>
  <c r="G17" i="5"/>
  <c r="H17" i="5" s="1"/>
  <c r="S17" i="2"/>
  <c r="S21" i="2" s="1"/>
  <c r="T12" i="2"/>
  <c r="T14" i="2" s="1"/>
  <c r="S26" i="2" l="1"/>
  <c r="W5" i="2"/>
  <c r="V8" i="2"/>
  <c r="V10" i="2" s="1"/>
  <c r="G18" i="5"/>
  <c r="H18" i="5" s="1"/>
  <c r="T17" i="2"/>
  <c r="T21" i="2" s="1"/>
  <c r="U12" i="2"/>
  <c r="U14" i="2" s="1"/>
  <c r="T26" i="2" l="1"/>
  <c r="X5" i="2"/>
  <c r="W8" i="2"/>
  <c r="W10" i="2" s="1"/>
  <c r="G19" i="5"/>
  <c r="H19" i="5" s="1"/>
  <c r="V12" i="2"/>
  <c r="V14" i="2" s="1"/>
  <c r="U17" i="2"/>
  <c r="U21" i="2" s="1"/>
  <c r="W14" i="2" l="1"/>
  <c r="U26" i="2"/>
  <c r="X8" i="2"/>
  <c r="X10" i="2" s="1"/>
  <c r="Y5" i="2"/>
  <c r="G20" i="5"/>
  <c r="H20" i="5" s="1"/>
  <c r="W12" i="2"/>
  <c r="V17" i="2"/>
  <c r="V21" i="2" s="1"/>
  <c r="V26" i="2" l="1"/>
  <c r="Y8" i="2"/>
  <c r="Y10" i="2" s="1"/>
  <c r="Z5" i="2"/>
  <c r="G21" i="5"/>
  <c r="H21" i="5" s="1"/>
  <c r="X12" i="2"/>
  <c r="X14" i="2" s="1"/>
  <c r="W17" i="2"/>
  <c r="W21" i="2" s="1"/>
  <c r="W26" i="2" l="1"/>
  <c r="Z8" i="2"/>
  <c r="Z10" i="2" s="1"/>
  <c r="AA5" i="2"/>
  <c r="G22" i="5"/>
  <c r="H22" i="5" s="1"/>
  <c r="X17" i="2"/>
  <c r="X21" i="2" s="1"/>
  <c r="Y12" i="2"/>
  <c r="Y14" i="2" s="1"/>
  <c r="X26" i="2" l="1"/>
  <c r="AA8" i="2"/>
  <c r="AA10" i="2" s="1"/>
  <c r="AB5" i="2"/>
  <c r="G23" i="5"/>
  <c r="H23" i="5" s="1"/>
  <c r="Z12" i="2"/>
  <c r="Z14" i="2" s="1"/>
  <c r="Y17" i="2"/>
  <c r="Y21" i="2" s="1"/>
  <c r="Y26" i="2" l="1"/>
  <c r="AB8" i="2"/>
  <c r="AB10" i="2" s="1"/>
  <c r="AC5" i="2"/>
  <c r="G24" i="5"/>
  <c r="H24" i="5" s="1"/>
  <c r="Z17" i="2"/>
  <c r="Z21" i="2" s="1"/>
  <c r="AA12" i="2"/>
  <c r="AA14" i="2" s="1"/>
  <c r="AB14" i="2" l="1"/>
  <c r="Z26" i="2"/>
  <c r="AD5" i="2"/>
  <c r="AC8" i="2"/>
  <c r="AC10" i="2" s="1"/>
  <c r="G25" i="5"/>
  <c r="H25" i="5" s="1"/>
  <c r="AB12" i="2"/>
  <c r="AA17" i="2"/>
  <c r="AA21" i="2" s="1"/>
  <c r="AA26" i="2" l="1"/>
  <c r="AE5" i="2"/>
  <c r="AD8" i="2"/>
  <c r="AD10" i="2" s="1"/>
  <c r="G26" i="5"/>
  <c r="H26" i="5" s="1"/>
  <c r="AC12" i="2"/>
  <c r="AC14" i="2" s="1"/>
  <c r="AB17" i="2"/>
  <c r="AB21" i="2" s="1"/>
  <c r="AB26" i="2" l="1"/>
  <c r="AF5" i="2"/>
  <c r="AE8" i="2"/>
  <c r="AE10" i="2" s="1"/>
  <c r="G27" i="5"/>
  <c r="H27" i="5" s="1"/>
  <c r="AD12" i="2"/>
  <c r="AD14" i="2" s="1"/>
  <c r="AC17" i="2"/>
  <c r="AC21" i="2" s="1"/>
  <c r="AC26" i="2" l="1"/>
  <c r="AG5" i="2"/>
  <c r="AF8" i="2"/>
  <c r="AF10" i="2" s="1"/>
  <c r="G28" i="5"/>
  <c r="H28" i="5" s="1"/>
  <c r="AE12" i="2"/>
  <c r="AE14" i="2" s="1"/>
  <c r="AD17" i="2"/>
  <c r="AD21" i="2" s="1"/>
  <c r="AD26" i="2" l="1"/>
  <c r="AG8" i="2"/>
  <c r="AG10" i="2" s="1"/>
  <c r="AH5" i="2"/>
  <c r="G29" i="5"/>
  <c r="H29" i="5" s="1"/>
  <c r="AE17" i="2"/>
  <c r="AE21" i="2" s="1"/>
  <c r="AF12" i="2"/>
  <c r="AF14" i="2" s="1"/>
  <c r="AE26" i="2" l="1"/>
  <c r="AH8" i="2"/>
  <c r="AI5" i="2"/>
  <c r="G30" i="5"/>
  <c r="H30" i="5" s="1"/>
  <c r="AG12" i="2"/>
  <c r="AG14" i="2" s="1"/>
  <c r="AF17" i="2"/>
  <c r="AF21" i="2" s="1"/>
  <c r="AF26" i="2" l="1"/>
  <c r="AH10" i="2"/>
  <c r="AI8" i="2"/>
  <c r="G31" i="5"/>
  <c r="H31" i="5" s="1"/>
  <c r="AG17" i="2"/>
  <c r="AG21" i="2" s="1"/>
  <c r="AH12" i="2"/>
  <c r="AI10" i="2" l="1"/>
  <c r="AH14" i="2"/>
  <c r="AH17" i="2" s="1"/>
  <c r="AG26" i="2"/>
  <c r="G32" i="5"/>
  <c r="H32" i="5" s="1"/>
  <c r="AH21" i="2" l="1"/>
  <c r="AI21" i="2" s="1"/>
  <c r="AI17" i="2"/>
  <c r="G33" i="5"/>
  <c r="H33" i="5" s="1"/>
  <c r="AH26" i="2" l="1"/>
  <c r="G34" i="5"/>
  <c r="H34" i="5" s="1"/>
  <c r="G35" i="5" l="1"/>
  <c r="H35" i="5" s="1"/>
  <c r="G36" i="5" l="1"/>
  <c r="H36" i="5" s="1"/>
  <c r="G37" i="5" l="1"/>
  <c r="H37" i="5" s="1"/>
  <c r="G38" i="5" l="1"/>
  <c r="H38" i="5" s="1"/>
  <c r="G39" i="5" l="1"/>
  <c r="H39" i="5" s="1"/>
  <c r="G40" i="5" l="1"/>
  <c r="H40" i="5" s="1"/>
  <c r="G41" i="5" l="1"/>
  <c r="H41" i="5" s="1"/>
  <c r="G42" i="5" l="1"/>
  <c r="H42" i="5" s="1"/>
  <c r="G43" i="5" l="1"/>
  <c r="H43" i="5" s="1"/>
  <c r="G44" i="5" l="1"/>
  <c r="H44" i="5" s="1"/>
  <c r="G45" i="5" l="1"/>
  <c r="H45" i="5" s="1"/>
  <c r="G46" i="5" l="1"/>
  <c r="H46" i="5" s="1"/>
  <c r="G47" i="5" l="1"/>
  <c r="H47" i="5" s="1"/>
  <c r="G48" i="5" l="1"/>
  <c r="H48" i="5" s="1"/>
  <c r="G49" i="5" l="1"/>
  <c r="H49" i="5" s="1"/>
  <c r="G50" i="5" l="1"/>
  <c r="H50" i="5" s="1"/>
  <c r="G51" i="5" l="1"/>
  <c r="H51" i="5" s="1"/>
  <c r="G52" i="5" l="1"/>
  <c r="H52" i="5" s="1"/>
  <c r="G53" i="5" l="1"/>
  <c r="H53" i="5" s="1"/>
  <c r="G54" i="5" l="1"/>
  <c r="H54" i="5" s="1"/>
  <c r="G55" i="5" l="1"/>
  <c r="H55" i="5" s="1"/>
  <c r="G56" i="5" l="1"/>
  <c r="H56" i="5" s="1"/>
  <c r="G57" i="5" l="1"/>
  <c r="H57" i="5" s="1"/>
  <c r="G58" i="5" l="1"/>
  <c r="H58" i="5" s="1"/>
  <c r="G59" i="5" l="1"/>
  <c r="H59" i="5" s="1"/>
  <c r="G60" i="5" l="1"/>
  <c r="H60" i="5" s="1"/>
  <c r="G61" i="5" l="1"/>
  <c r="H61" i="5" s="1"/>
  <c r="G62" i="5" l="1"/>
  <c r="H62" i="5" s="1"/>
  <c r="G63" i="5" l="1"/>
  <c r="H63" i="5" s="1"/>
  <c r="G64" i="5" l="1"/>
  <c r="H64" i="5" s="1"/>
  <c r="G65" i="5" l="1"/>
  <c r="H65" i="5" s="1"/>
  <c r="G66" i="5" l="1"/>
  <c r="H66" i="5" s="1"/>
  <c r="G67" i="5" l="1"/>
  <c r="H67" i="5" s="1"/>
  <c r="G68" i="5" l="1"/>
  <c r="H68" i="5" s="1"/>
  <c r="G69" i="5" l="1"/>
  <c r="H69" i="5" s="1"/>
  <c r="G70" i="5" l="1"/>
  <c r="H70" i="5" s="1"/>
  <c r="G71" i="5" l="1"/>
  <c r="H71" i="5" s="1"/>
  <c r="G72" i="5" l="1"/>
  <c r="H72" i="5" s="1"/>
  <c r="G73" i="5" l="1"/>
  <c r="H73" i="5" s="1"/>
  <c r="G74" i="5" l="1"/>
  <c r="H74" i="5" s="1"/>
  <c r="G75" i="5" l="1"/>
  <c r="H75" i="5" s="1"/>
  <c r="G76" i="5" l="1"/>
  <c r="H76" i="5" s="1"/>
  <c r="G77" i="5" l="1"/>
  <c r="H77" i="5" s="1"/>
  <c r="G78" i="5" l="1"/>
  <c r="H78" i="5" s="1"/>
  <c r="G79" i="5" l="1"/>
  <c r="H79" i="5" s="1"/>
  <c r="G80" i="5" l="1"/>
  <c r="H80" i="5" s="1"/>
  <c r="G81" i="5" l="1"/>
  <c r="H81" i="5" s="1"/>
  <c r="G82" i="5" l="1"/>
  <c r="H82" i="5" s="1"/>
  <c r="G83" i="5" l="1"/>
  <c r="H83" i="5" s="1"/>
  <c r="G84" i="5" l="1"/>
  <c r="H84" i="5" s="1"/>
  <c r="G85" i="5" l="1"/>
  <c r="H85" i="5" s="1"/>
  <c r="G86" i="5" l="1"/>
  <c r="H86" i="5" s="1"/>
  <c r="G87" i="5" l="1"/>
  <c r="H87" i="5" s="1"/>
  <c r="G88" i="5" l="1"/>
  <c r="H88" i="5" s="1"/>
  <c r="G89" i="5" l="1"/>
  <c r="H89" i="5" s="1"/>
  <c r="G90" i="5" l="1"/>
  <c r="H90" i="5" s="1"/>
  <c r="G91" i="5" l="1"/>
  <c r="H91" i="5" s="1"/>
  <c r="G92" i="5" l="1"/>
  <c r="H92" i="5" s="1"/>
  <c r="G93" i="5" l="1"/>
  <c r="H93" i="5" s="1"/>
  <c r="G94" i="5" l="1"/>
  <c r="H94" i="5" s="1"/>
  <c r="G95" i="5" l="1"/>
  <c r="H95" i="5" s="1"/>
  <c r="G96" i="5" l="1"/>
  <c r="H96" i="5" s="1"/>
  <c r="G97" i="5" l="1"/>
  <c r="H97" i="5" s="1"/>
  <c r="G98" i="5" l="1"/>
  <c r="H98" i="5" s="1"/>
  <c r="G99" i="5" l="1"/>
  <c r="H99" i="5" s="1"/>
  <c r="G100" i="5" l="1"/>
  <c r="H100" i="5" s="1"/>
  <c r="G101" i="5" l="1"/>
  <c r="H101" i="5" s="1"/>
  <c r="G102" i="5" l="1"/>
  <c r="H102" i="5" s="1"/>
  <c r="G103" i="5" l="1"/>
  <c r="H103" i="5" s="1"/>
  <c r="G104" i="5" l="1"/>
  <c r="H104" i="5" s="1"/>
  <c r="G105" i="5" l="1"/>
  <c r="H105" i="5" s="1"/>
  <c r="G106" i="5" l="1"/>
  <c r="H106" i="5" s="1"/>
  <c r="G107" i="5" l="1"/>
  <c r="H107" i="5" s="1"/>
  <c r="G108" i="5" l="1"/>
  <c r="H108" i="5" s="1"/>
  <c r="G109" i="5" l="1"/>
  <c r="H109" i="5" s="1"/>
  <c r="G110" i="5" l="1"/>
  <c r="H110" i="5" s="1"/>
  <c r="G111" i="5" l="1"/>
  <c r="H111" i="5" s="1"/>
  <c r="G112" i="5" l="1"/>
  <c r="H112" i="5" s="1"/>
  <c r="G113" i="5" l="1"/>
  <c r="H113" i="5" s="1"/>
  <c r="G114" i="5" l="1"/>
  <c r="H114" i="5" s="1"/>
  <c r="G115" i="5" l="1"/>
  <c r="H115" i="5" s="1"/>
  <c r="G116" i="5" l="1"/>
  <c r="H116" i="5" s="1"/>
  <c r="G117" i="5" l="1"/>
  <c r="H117" i="5" s="1"/>
  <c r="G118" i="5" l="1"/>
  <c r="H118" i="5" s="1"/>
  <c r="G119" i="5" l="1"/>
  <c r="H119" i="5" s="1"/>
  <c r="G120" i="5" l="1"/>
  <c r="H120" i="5" s="1"/>
  <c r="G121" i="5" l="1"/>
  <c r="H121" i="5" s="1"/>
  <c r="G122" i="5" l="1"/>
  <c r="H122" i="5" s="1"/>
  <c r="G123" i="5" l="1"/>
  <c r="H123" i="5" s="1"/>
  <c r="G124" i="5" l="1"/>
  <c r="H124" i="5" s="1"/>
  <c r="G125" i="5" l="1"/>
  <c r="H125" i="5" s="1"/>
  <c r="G126" i="5" l="1"/>
  <c r="H126" i="5" s="1"/>
  <c r="G127" i="5" l="1"/>
  <c r="H127" i="5" s="1"/>
  <c r="G128" i="5" l="1"/>
  <c r="H128" i="5" s="1"/>
  <c r="G129" i="5" l="1"/>
  <c r="H129" i="5" s="1"/>
  <c r="G130" i="5" l="1"/>
  <c r="H130" i="5" s="1"/>
  <c r="G131" i="5" l="1"/>
  <c r="H131" i="5" s="1"/>
  <c r="G132" i="5" l="1"/>
  <c r="H132" i="5" s="1"/>
  <c r="G133" i="5" l="1"/>
  <c r="H133" i="5" s="1"/>
  <c r="G134" i="5" l="1"/>
  <c r="H134" i="5" s="1"/>
  <c r="G135" i="5" l="1"/>
  <c r="H135" i="5" s="1"/>
  <c r="G136" i="5" l="1"/>
  <c r="H136" i="5" s="1"/>
  <c r="G137" i="5" l="1"/>
  <c r="H137" i="5" s="1"/>
  <c r="G138" i="5" l="1"/>
  <c r="H138" i="5" s="1"/>
  <c r="G139" i="5" l="1"/>
  <c r="H139" i="5" s="1"/>
  <c r="G140" i="5" l="1"/>
  <c r="H140" i="5" s="1"/>
  <c r="G141" i="5" l="1"/>
  <c r="H141" i="5" s="1"/>
  <c r="G142" i="5" l="1"/>
  <c r="H142" i="5" s="1"/>
  <c r="G143" i="5" l="1"/>
  <c r="H143" i="5" s="1"/>
  <c r="G144" i="5" l="1"/>
  <c r="H144" i="5" s="1"/>
  <c r="G145" i="5" l="1"/>
  <c r="H145" i="5" s="1"/>
  <c r="G146" i="5" l="1"/>
  <c r="H146" i="5" s="1"/>
  <c r="G147" i="5" l="1"/>
  <c r="H147" i="5" s="1"/>
  <c r="G148" i="5" l="1"/>
  <c r="H148" i="5" s="1"/>
  <c r="G149" i="5" l="1"/>
  <c r="H149" i="5" s="1"/>
  <c r="G150" i="5" l="1"/>
  <c r="H150" i="5" s="1"/>
  <c r="G151" i="5" l="1"/>
  <c r="H151" i="5" s="1"/>
  <c r="G152" i="5" l="1"/>
  <c r="H152" i="5" s="1"/>
  <c r="G153" i="5" l="1"/>
  <c r="H153" i="5" s="1"/>
  <c r="G154" i="5" l="1"/>
  <c r="H154" i="5" s="1"/>
  <c r="G155" i="5" l="1"/>
  <c r="H155" i="5" s="1"/>
  <c r="G156" i="5" l="1"/>
  <c r="H156" i="5" s="1"/>
  <c r="G157" i="5" l="1"/>
  <c r="H157" i="5" s="1"/>
  <c r="G158" i="5" l="1"/>
  <c r="H158" i="5" s="1"/>
  <c r="G159" i="5" l="1"/>
  <c r="H159" i="5" s="1"/>
  <c r="G160" i="5" l="1"/>
  <c r="H160" i="5" s="1"/>
  <c r="G161" i="5" l="1"/>
  <c r="H161" i="5" s="1"/>
  <c r="G162" i="5" l="1"/>
  <c r="H162" i="5" s="1"/>
  <c r="G163" i="5" l="1"/>
  <c r="H163" i="5" s="1"/>
  <c r="G164" i="5" l="1"/>
  <c r="H164" i="5" s="1"/>
  <c r="G165" i="5" l="1"/>
  <c r="H165" i="5" s="1"/>
  <c r="G166" i="5" l="1"/>
  <c r="H166" i="5" s="1"/>
  <c r="G167" i="5" l="1"/>
  <c r="H167" i="5" s="1"/>
  <c r="G168" i="5" l="1"/>
  <c r="H168" i="5" s="1"/>
  <c r="G169" i="5" l="1"/>
  <c r="H169" i="5" s="1"/>
  <c r="G170" i="5" l="1"/>
  <c r="H170" i="5" s="1"/>
  <c r="G171" i="5" l="1"/>
  <c r="H171" i="5" s="1"/>
  <c r="G172" i="5" l="1"/>
  <c r="H172" i="5" s="1"/>
  <c r="G173" i="5" l="1"/>
  <c r="H173" i="5" s="1"/>
  <c r="G174" i="5" l="1"/>
  <c r="H174" i="5" s="1"/>
  <c r="G175" i="5" l="1"/>
  <c r="H175" i="5" s="1"/>
  <c r="G176" i="5" l="1"/>
  <c r="H176" i="5" s="1"/>
  <c r="G177" i="5" l="1"/>
  <c r="H177" i="5" s="1"/>
  <c r="G178" i="5" l="1"/>
  <c r="H178" i="5" s="1"/>
  <c r="G179" i="5" l="1"/>
  <c r="H179" i="5" s="1"/>
  <c r="G180" i="5" l="1"/>
  <c r="H180" i="5" s="1"/>
  <c r="G181" i="5" l="1"/>
  <c r="H181" i="5" s="1"/>
  <c r="G182" i="5" l="1"/>
  <c r="H182" i="5" s="1"/>
  <c r="G183" i="5" l="1"/>
  <c r="H183" i="5" s="1"/>
  <c r="G184" i="5" l="1"/>
  <c r="H184" i="5" s="1"/>
  <c r="G185" i="5" l="1"/>
  <c r="H185" i="5" s="1"/>
  <c r="G186" i="5" l="1"/>
  <c r="H186" i="5" s="1"/>
  <c r="G187" i="5" l="1"/>
  <c r="H187" i="5" s="1"/>
  <c r="G188" i="5" l="1"/>
  <c r="H188" i="5" s="1"/>
  <c r="G189" i="5" l="1"/>
  <c r="H189" i="5" s="1"/>
  <c r="G190" i="5" l="1"/>
  <c r="H190" i="5" s="1"/>
  <c r="G191" i="5" l="1"/>
  <c r="H191" i="5" s="1"/>
  <c r="G192" i="5" l="1"/>
  <c r="H192" i="5" s="1"/>
  <c r="G193" i="5" l="1"/>
  <c r="H193" i="5" s="1"/>
  <c r="G194" i="5" l="1"/>
  <c r="H194" i="5" s="1"/>
  <c r="G195" i="5" l="1"/>
  <c r="H195" i="5" s="1"/>
  <c r="G196" i="5" l="1"/>
  <c r="H196" i="5" s="1"/>
  <c r="G197" i="5" l="1"/>
  <c r="H197" i="5" s="1"/>
  <c r="G198" i="5" l="1"/>
  <c r="H198" i="5" s="1"/>
  <c r="G199" i="5" l="1"/>
  <c r="H199" i="5" s="1"/>
  <c r="G200" i="5" l="1"/>
  <c r="H200" i="5" s="1"/>
  <c r="G201" i="5" l="1"/>
  <c r="H201" i="5" s="1"/>
  <c r="G202" i="5" l="1"/>
  <c r="H202" i="5" s="1"/>
  <c r="G203" i="5" l="1"/>
  <c r="H203" i="5" s="1"/>
  <c r="G204" i="5" l="1"/>
  <c r="H204" i="5" s="1"/>
  <c r="G205" i="5" l="1"/>
  <c r="H205" i="5" s="1"/>
  <c r="G206" i="5" l="1"/>
  <c r="H206" i="5" s="1"/>
  <c r="G207" i="5" l="1"/>
  <c r="H207" i="5" s="1"/>
  <c r="G208" i="5" l="1"/>
  <c r="H208" i="5" s="1"/>
  <c r="G209" i="5" l="1"/>
  <c r="H209" i="5" s="1"/>
  <c r="G210" i="5" l="1"/>
  <c r="H210" i="5" s="1"/>
  <c r="G211" i="5" l="1"/>
  <c r="H211" i="5" s="1"/>
  <c r="G212" i="5" l="1"/>
  <c r="H212" i="5" s="1"/>
  <c r="G213" i="5" l="1"/>
  <c r="H213" i="5" s="1"/>
  <c r="G214" i="5" l="1"/>
  <c r="H214" i="5" s="1"/>
  <c r="G215" i="5" l="1"/>
  <c r="H215" i="5" s="1"/>
  <c r="G216" i="5" l="1"/>
  <c r="G217" i="5" l="1"/>
  <c r="G218" i="5" l="1"/>
  <c r="G219" i="5" l="1"/>
  <c r="G220" i="5" l="1"/>
  <c r="G221" i="5" l="1"/>
  <c r="G222" i="5" l="1"/>
  <c r="G223" i="5" l="1"/>
  <c r="G224" i="5" l="1"/>
  <c r="G225" i="5" l="1"/>
  <c r="G226" i="5" l="1"/>
  <c r="G227" i="5" l="1"/>
  <c r="G228" i="5" l="1"/>
  <c r="G229" i="5" l="1"/>
  <c r="G230" i="5" l="1"/>
  <c r="G231" i="5" l="1"/>
  <c r="G232" i="5" l="1"/>
  <c r="G233" i="5" l="1"/>
  <c r="G234" i="5" l="1"/>
  <c r="G235" i="5" l="1"/>
  <c r="G236" i="5" l="1"/>
  <c r="G237" i="5" l="1"/>
  <c r="G238" i="5" l="1"/>
  <c r="G239" i="5" l="1"/>
  <c r="G240" i="5" l="1"/>
  <c r="G241" i="5" l="1"/>
  <c r="G242" i="5" l="1"/>
  <c r="G243" i="5" l="1"/>
  <c r="G244" i="5" l="1"/>
  <c r="G245" i="5" l="1"/>
  <c r="G246" i="5" l="1"/>
  <c r="G247" i="5" l="1"/>
  <c r="G248" i="5" l="1"/>
  <c r="G249" i="5" l="1"/>
  <c r="G250" i="5" l="1"/>
  <c r="G251" i="5" l="1"/>
  <c r="G252" i="5" l="1"/>
  <c r="G253" i="5" l="1"/>
  <c r="G254" i="5" l="1"/>
  <c r="G255" i="5" l="1"/>
  <c r="G256" i="5" l="1"/>
  <c r="G257" i="5" l="1"/>
  <c r="G258" i="5" l="1"/>
  <c r="G259" i="5" l="1"/>
  <c r="G260" i="5" l="1"/>
  <c r="G261" i="5" l="1"/>
  <c r="G262" i="5" l="1"/>
  <c r="G263" i="5" l="1"/>
  <c r="G264" i="5" l="1"/>
  <c r="G265" i="5" l="1"/>
  <c r="G266" i="5" l="1"/>
  <c r="G267" i="5" l="1"/>
  <c r="G268" i="5" l="1"/>
  <c r="G269" i="5" l="1"/>
  <c r="G270" i="5" l="1"/>
  <c r="G271" i="5" l="1"/>
  <c r="G272" i="5" l="1"/>
  <c r="G273" i="5" l="1"/>
  <c r="G274" i="5" l="1"/>
  <c r="F277" i="5" l="1"/>
  <c r="G275" i="5"/>
  <c r="F278" i="5" l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G276" i="5"/>
  <c r="H22" i="4" l="1"/>
  <c r="H20" i="4"/>
  <c r="H21" i="4"/>
  <c r="H23" i="4"/>
  <c r="G277" i="5"/>
  <c r="G278" i="5" l="1"/>
  <c r="G279" i="5" l="1"/>
  <c r="G280" i="5" l="1"/>
  <c r="G281" i="5" l="1"/>
  <c r="G282" i="5" l="1"/>
  <c r="G283" i="5" l="1"/>
  <c r="G284" i="5" l="1"/>
  <c r="G285" i="5" l="1"/>
  <c r="G286" i="5" l="1"/>
  <c r="G287" i="5" l="1"/>
  <c r="G288" i="5" l="1"/>
  <c r="G289" i="5" l="1"/>
  <c r="G290" i="5" l="1"/>
  <c r="G291" i="5" l="1"/>
  <c r="G292" i="5" l="1"/>
  <c r="G293" i="5" l="1"/>
  <c r="G294" i="5" l="1"/>
  <c r="G295" i="5" l="1"/>
  <c r="G296" i="5" l="1"/>
  <c r="G297" i="5" l="1"/>
  <c r="G298" i="5" l="1"/>
  <c r="G299" i="5" l="1"/>
  <c r="G300" i="5" l="1"/>
  <c r="G301" i="5" l="1"/>
  <c r="G302" i="5" l="1"/>
  <c r="G303" i="5" l="1"/>
  <c r="G304" i="5" l="1"/>
  <c r="G305" i="5" l="1"/>
  <c r="G306" i="5" l="1"/>
  <c r="G307" i="5" l="1"/>
  <c r="G308" i="5" l="1"/>
  <c r="H308" i="5" s="1"/>
  <c r="G309" i="5" l="1"/>
  <c r="H309" i="5" s="1"/>
  <c r="G310" i="5" l="1"/>
  <c r="H310" i="5" s="1"/>
  <c r="G311" i="5" l="1"/>
  <c r="H311" i="5" s="1"/>
  <c r="G312" i="5" l="1"/>
  <c r="H312" i="5" s="1"/>
  <c r="G313" i="5" l="1"/>
  <c r="H313" i="5" s="1"/>
  <c r="G314" i="5" l="1"/>
  <c r="H314" i="5" s="1"/>
  <c r="G315" i="5" l="1"/>
  <c r="H315" i="5" s="1"/>
  <c r="G316" i="5" l="1"/>
  <c r="H316" i="5" s="1"/>
  <c r="G317" i="5" l="1"/>
  <c r="H317" i="5" s="1"/>
  <c r="G318" i="5" l="1"/>
  <c r="H318" i="5" s="1"/>
  <c r="G319" i="5" l="1"/>
  <c r="H319" i="5" s="1"/>
  <c r="G320" i="5" l="1"/>
  <c r="H320" i="5" s="1"/>
  <c r="G321" i="5" l="1"/>
  <c r="H321" i="5" s="1"/>
  <c r="G322" i="5" l="1"/>
  <c r="H322" i="5" s="1"/>
  <c r="G323" i="5" l="1"/>
  <c r="H323" i="5" s="1"/>
  <c r="G324" i="5" l="1"/>
  <c r="H324" i="5" s="1"/>
  <c r="G325" i="5" l="1"/>
  <c r="H325" i="5" s="1"/>
  <c r="G326" i="5" l="1"/>
  <c r="H326" i="5" s="1"/>
  <c r="G327" i="5" l="1"/>
  <c r="H327" i="5" s="1"/>
  <c r="G328" i="5" l="1"/>
  <c r="H328" i="5" s="1"/>
  <c r="G329" i="5" l="1"/>
  <c r="H329" i="5" s="1"/>
  <c r="G330" i="5" l="1"/>
  <c r="H330" i="5" s="1"/>
  <c r="G331" i="5" l="1"/>
  <c r="H331" i="5" s="1"/>
  <c r="G332" i="5" l="1"/>
  <c r="H332" i="5" s="1"/>
  <c r="G333" i="5" l="1"/>
  <c r="H333" i="5" s="1"/>
  <c r="G334" i="5" l="1"/>
  <c r="H334" i="5" s="1"/>
  <c r="G335" i="5" l="1"/>
  <c r="H335" i="5" s="1"/>
  <c r="G336" i="5" l="1"/>
  <c r="H336" i="5" s="1"/>
  <c r="G337" i="5" l="1"/>
  <c r="H337" i="5" s="1"/>
  <c r="G338" i="5" l="1"/>
  <c r="H338" i="5" s="1"/>
  <c r="G339" i="5" l="1"/>
  <c r="H339" i="5" s="1"/>
  <c r="G340" i="5" l="1"/>
  <c r="H340" i="5" s="1"/>
  <c r="G341" i="5" l="1"/>
  <c r="H341" i="5" s="1"/>
  <c r="G342" i="5" l="1"/>
  <c r="H342" i="5" s="1"/>
  <c r="G343" i="5" l="1"/>
  <c r="H343" i="5" s="1"/>
  <c r="G344" i="5" l="1"/>
  <c r="H344" i="5" s="1"/>
  <c r="G345" i="5" l="1"/>
  <c r="H345" i="5" s="1"/>
  <c r="G346" i="5" l="1"/>
  <c r="H346" i="5" s="1"/>
  <c r="G347" i="5" l="1"/>
  <c r="H347" i="5" s="1"/>
  <c r="G348" i="5" l="1"/>
  <c r="H348" i="5" s="1"/>
  <c r="G349" i="5" l="1"/>
  <c r="H349" i="5" s="1"/>
  <c r="G350" i="5" l="1"/>
  <c r="H350" i="5" s="1"/>
  <c r="G351" i="5" l="1"/>
  <c r="H351" i="5" s="1"/>
  <c r="G352" i="5" l="1"/>
  <c r="H352" i="5" s="1"/>
  <c r="G353" i="5" l="1"/>
  <c r="H353" i="5" s="1"/>
  <c r="G354" i="5" l="1"/>
  <c r="H354" i="5" s="1"/>
  <c r="G355" i="5" l="1"/>
  <c r="H355" i="5" s="1"/>
  <c r="G356" i="5" l="1"/>
  <c r="H356" i="5" s="1"/>
  <c r="G357" i="5" l="1"/>
  <c r="H357" i="5" s="1"/>
  <c r="G358" i="5" l="1"/>
  <c r="H358" i="5" s="1"/>
  <c r="G359" i="5" l="1"/>
  <c r="H359" i="5" s="1"/>
  <c r="G360" i="5" l="1"/>
  <c r="H360" i="5" s="1"/>
  <c r="G361" i="5" l="1"/>
  <c r="H361" i="5" s="1"/>
  <c r="G362" i="5" l="1"/>
  <c r="H362" i="5" s="1"/>
  <c r="G363" i="5" l="1"/>
  <c r="H363" i="5" s="1"/>
  <c r="G364" i="5" l="1"/>
  <c r="H364" i="5" s="1"/>
  <c r="G366" i="5" l="1"/>
  <c r="G365" i="5"/>
  <c r="H365" i="5" s="1"/>
  <c r="H366" i="5" l="1"/>
  <c r="H370" i="5" s="1"/>
  <c r="H24" i="4" s="1"/>
  <c r="G370" i="5"/>
</calcChain>
</file>

<file path=xl/sharedStrings.xml><?xml version="1.0" encoding="utf-8"?>
<sst xmlns="http://schemas.openxmlformats.org/spreadsheetml/2006/main" count="446" uniqueCount="81">
  <si>
    <t>Day of Month</t>
  </si>
  <si>
    <t>Avg Sunlight hours</t>
  </si>
  <si>
    <t>Daylight minutes</t>
  </si>
  <si>
    <t>Avg Daylight mins</t>
  </si>
  <si>
    <t>Total</t>
  </si>
  <si>
    <t>Adjusted Sunlight hours</t>
  </si>
  <si>
    <t>Weather factor</t>
  </si>
  <si>
    <t>Net Sunlight Hours</t>
  </si>
  <si>
    <t>Solar Array Power (kW)</t>
  </si>
  <si>
    <t>Power consumed (kWhr)</t>
  </si>
  <si>
    <t>kWh of electricity generated</t>
  </si>
  <si>
    <r>
      <t>Surplus/</t>
    </r>
    <r>
      <rPr>
        <sz val="11"/>
        <color rgb="FFFF0000"/>
        <rFont val="Calibri"/>
        <family val="2"/>
        <scheme val="minor"/>
      </rPr>
      <t>(deficit)</t>
    </r>
  </si>
  <si>
    <t>Power reservoir</t>
  </si>
  <si>
    <t>Opening Balance</t>
  </si>
  <si>
    <t>Solar Array Maximum Generating Capacity in kW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</si>
  <si>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</si>
  <si>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</si>
  <si>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</si>
  <si>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</si>
  <si>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</si>
  <si>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</si>
  <si>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</si>
  <si>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</si>
  <si>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</si>
  <si>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</si>
  <si>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</si>
  <si>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</si>
  <si>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Avg hours of full sunlight equivalent</t>
  </si>
  <si>
    <t>Max Power Surplus Store (kWh)</t>
  </si>
  <si>
    <t>April</t>
  </si>
  <si>
    <t>Month</t>
  </si>
  <si>
    <t>Day</t>
  </si>
  <si>
    <t>August</t>
  </si>
  <si>
    <t>March</t>
  </si>
  <si>
    <t>Daily power consumption (kWh)</t>
  </si>
  <si>
    <t>Efficiency Factor from 0 to 100% for your array</t>
  </si>
  <si>
    <t>Roundtrip Efficiency for Power Storage from 0% to 100%</t>
  </si>
  <si>
    <t>Daily storage loss (%)</t>
  </si>
  <si>
    <t>Daily storage loss (kWh)</t>
  </si>
  <si>
    <t>Minimum wasted power when storing (kWh)</t>
  </si>
  <si>
    <t>Totals</t>
  </si>
  <si>
    <t>Gross Generated Power</t>
  </si>
  <si>
    <t>Avg</t>
  </si>
  <si>
    <t>Min</t>
  </si>
  <si>
    <t>Max</t>
  </si>
  <si>
    <t>Min power stored (kWh)</t>
  </si>
  <si>
    <t>Number of days below min daily consumption power stored</t>
  </si>
  <si>
    <t>Number of days with max power stored</t>
  </si>
  <si>
    <t>Number of days with no power stored</t>
  </si>
  <si>
    <t>Net Unstored power (kWh)</t>
  </si>
  <si>
    <t>Daily Net Power Stored</t>
  </si>
  <si>
    <t>Total Power Stored</t>
  </si>
  <si>
    <t>Net Power Generated/ Consumed</t>
  </si>
  <si>
    <t>Daily Power Losses</t>
  </si>
  <si>
    <t>Net Unstored Surplus Power</t>
  </si>
  <si>
    <t>Enter the basic factors and assumptions for your projection on this page in the highlighted cells.</t>
  </si>
  <si>
    <t>Other cells generate calculated answers and can't be manually changed.</t>
  </si>
  <si>
    <t>Results (See also Daily Tab)</t>
  </si>
  <si>
    <t>(Shows how many days you can 'spend' more power)</t>
  </si>
  <si>
    <t>(Should be more than a day's consumption to give you a safety margin, if much more then maybe you can reduce your power generation or storage)</t>
  </si>
  <si>
    <t>(If this is greater than 0, then some days you'll have power shortages - increase storage or generation to bring back to zero)</t>
  </si>
  <si>
    <t>(If this is greater than 0, then you are cutting things fine, consider some more generation capacity or storage)</t>
  </si>
  <si>
    <t>Minimum/wasted power (kWh)</t>
  </si>
  <si>
    <t>Surplus power before losses</t>
  </si>
  <si>
    <t>Efficiency (%)</t>
  </si>
  <si>
    <t>Roundtrip Power storage efficiency</t>
  </si>
  <si>
    <t>Fine tune the day by day data for your critical month to expose any extra vulnerabilities caused by daily variations</t>
  </si>
  <si>
    <t>Worksheet password</t>
  </si>
  <si>
    <t>CodeGreenPrep</t>
  </si>
  <si>
    <t>Spreadsheet version</t>
  </si>
  <si>
    <t>Please check you have the most current version - visit</t>
  </si>
  <si>
    <t>Cost per installed kW ($)</t>
  </si>
  <si>
    <t>Cost per kWh of storage ($)</t>
  </si>
  <si>
    <t>Total cost for solar setup ($)</t>
  </si>
  <si>
    <t>Total cost for storage ($)</t>
  </si>
  <si>
    <t>Total cost for both ($)</t>
  </si>
  <si>
    <t>http://codegreenprep.com/solar-energy-calculator/</t>
  </si>
  <si>
    <t>Please report any errors to David@CodeGreenPrep.com</t>
  </si>
  <si>
    <t>May contain errors.  Use at own risk.</t>
  </si>
  <si>
    <t>Full instructions on how to use spreadsheet at link, above</t>
  </si>
  <si>
    <t>(All this extra power could be stored or used for something)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</si>
</sst>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164" formatCode="0.000"/>
    <numFmt numFmtId="165" formatCode="0.0"/>
    <numFmt numFmtId="166" formatCode="0.00_);[Red]\(0.00\)"/>
    <numFmt numFmtId="167" formatCode="0.0%"/>
    <numFmt numFmtId="168" formatCode="0.0_);[Red]\(0.0\)"/>
    <numFmt numFmtId="169" formatCode="_(* #,##0_);_(* \(#,##0\);_(* &quot;-&quot;??_);_(@_)"/>
    <numFmt numFmtId="170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</cellStyleXfs>
  <cellXfs count="35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9" fontId="0" fillId="0" borderId="0" xfId="2" applyFont="1"/>
    <xf numFmtId="9" fontId="0" fillId="0" borderId="0" xfId="0" applyNumberFormat="1"/>
    <xf numFmtId="166" fontId="0" fillId="0" borderId="0" xfId="0" applyNumberFormat="1"/>
    <xf numFmtId="0" fontId="4" fillId="4" borderId="1" xfId="5"/>
    <xf numFmtId="168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 applyAlignment="1">
      <alignment wrapText="1"/>
    </xf>
    <xf numFmtId="168" fontId="6" fillId="0" borderId="0" xfId="0" applyNumberFormat="1" applyFont="1" applyAlignment="1">
      <alignment wrapText="1"/>
    </xf>
    <xf numFmtId="2" fontId="4" fillId="4" borderId="1" xfId="5" applyNumberFormat="1" applyProtection="1">
      <protection locked="0"/>
    </xf>
    <xf numFmtId="165" fontId="4" fillId="4" borderId="1" xfId="5" applyNumberFormat="1" applyProtection="1">
      <protection locked="0"/>
    </xf>
    <xf numFmtId="167" fontId="4" fillId="4" borderId="1" xfId="2" applyNumberFormat="1" applyFont="1" applyFill="1" applyBorder="1" applyProtection="1">
      <protection locked="0"/>
    </xf>
    <xf numFmtId="9" fontId="4" fillId="4" borderId="1" xfId="2" applyNumberFormat="1" applyFont="1" applyFill="1" applyBorder="1" applyProtection="1">
      <protection locked="0"/>
    </xf>
    <xf numFmtId="1" fontId="4" fillId="4" borderId="1" xfId="5" applyNumberFormat="1" applyProtection="1">
      <protection locked="0"/>
    </xf>
    <xf numFmtId="165" fontId="2" fillId="2" borderId="0" xfId="3" applyNumberFormat="1"/>
    <xf numFmtId="0" fontId="2" fillId="2" borderId="0" xfId="3"/>
    <xf numFmtId="169" fontId="2" fillId="2" borderId="0" xfId="3" applyNumberFormat="1"/>
    <xf numFmtId="0" fontId="2" fillId="2" borderId="0" xfId="3" applyAlignment="1">
      <alignment horizontal="right"/>
    </xf>
    <xf numFmtId="2" fontId="2" fillId="2" borderId="0" xfId="3" applyNumberFormat="1"/>
    <xf numFmtId="10" fontId="2" fillId="2" borderId="0" xfId="3" applyNumberFormat="1"/>
    <xf numFmtId="0" fontId="6" fillId="0" borderId="0" xfId="0" applyFont="1"/>
    <xf numFmtId="0" fontId="3" fillId="3" borderId="0" xfId="4"/>
    <xf numFmtId="167" fontId="0" fillId="0" borderId="0" xfId="2" applyNumberFormat="1" applyFont="1"/>
    <xf numFmtId="0" fontId="4" fillId="4" borderId="1" xfId="5" applyProtection="1">
      <protection locked="0"/>
    </xf>
    <xf numFmtId="9" fontId="4" fillId="4" borderId="1" xfId="5" applyNumberFormat="1" applyProtection="1">
      <protection locked="0"/>
    </xf>
    <xf numFmtId="167" fontId="4" fillId="4" borderId="1" xfId="5" applyNumberFormat="1" applyProtection="1">
      <protection locked="0"/>
    </xf>
    <xf numFmtId="15" fontId="0" fillId="0" borderId="0" xfId="0" applyNumberFormat="1"/>
    <xf numFmtId="170" fontId="2" fillId="2" borderId="0" xfId="1" applyNumberFormat="1" applyFont="1" applyFill="1"/>
    <xf numFmtId="0" fontId="1" fillId="5" borderId="0" xfId="6"/>
    <xf numFmtId="0" fontId="7" fillId="5" borderId="0" xfId="6" applyFont="1"/>
    <xf numFmtId="0" fontId="5" fillId="3" borderId="0" xfId="4" applyFont="1"/>
  </cellXfs>
  <cellStyles count="7">
    <cellStyle name="40% - Accent4" xfId="6" builtinId="43"/>
    <cellStyle name="Calculation" xfId="5" builtinId="22"/>
    <cellStyle name="Currency" xfId="1" builtinId="4"/>
    <cellStyle name="Good" xfId="3" builtinId="26"/>
    <cellStyle name="Neutral" xfId="4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degreenprep.com/solar-energy-calculato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8"/>
  <sheetViews>
    <sheetView tabSelected="1" workbookViewId="0">
      <selection activeCell="H5" sqref="H5"/>
    </sheetView>
  </sheetViews>
  <sheetFormatPr defaultRowHeight="15" x14ac:dyDescent="0.25"/>
  <cols>
    <col min="8" max="8" width="9.140625" customWidth="1"/>
    <col min="10" max="10" width="9.5703125" bestFit="1" customWidth="1"/>
    <col min="17" max="17" width="10.140625" bestFit="1" customWidth="1"/>
  </cols>
  <sheetData>
    <row r="2" spans="1:23" x14ac:dyDescent="0.25">
      <c r="A2" t="s">
        <v>55</v>
      </c>
      <c r="M2" t="s">
        <v>69</v>
      </c>
      <c r="P2" s="3">
        <v>1</v>
      </c>
      <c r="Q2" s="30">
        <v>41771</v>
      </c>
      <c r="R2" s="32" t="s">
        <v>70</v>
      </c>
      <c r="S2" s="32"/>
      <c r="T2" s="32"/>
      <c r="U2" s="32"/>
      <c r="V2" s="32"/>
      <c r="W2" s="32"/>
    </row>
    <row r="3" spans="1:23" x14ac:dyDescent="0.25">
      <c r="A3" t="s">
        <v>56</v>
      </c>
      <c r="M3" s="24" t="s">
        <v>67</v>
      </c>
      <c r="P3" s="24" t="s">
        <v>68</v>
      </c>
      <c r="R3" s="33" t="s">
        <v>76</v>
      </c>
      <c r="S3" s="32"/>
      <c r="T3" s="32"/>
      <c r="U3" s="32"/>
      <c r="V3" s="32"/>
      <c r="W3" s="32"/>
    </row>
    <row r="4" spans="1:23" x14ac:dyDescent="0.25">
      <c r="R4" s="25" t="s">
        <v>79</v>
      </c>
      <c r="S4" s="25"/>
      <c r="T4" s="25"/>
      <c r="U4" s="25"/>
      <c r="V4" s="25"/>
      <c r="W4" s="25"/>
    </row>
    <row r="5" spans="1:23" x14ac:dyDescent="0.25">
      <c r="A5" t="s">
        <v>14</v>
      </c>
      <c r="H5" s="13">
        <v>12</v>
      </c>
      <c r="I5" t="s">
        <v>71</v>
      </c>
      <c r="L5" s="7">
        <v>1250</v>
      </c>
      <c r="R5" s="34" t="s">
        <v>78</v>
      </c>
      <c r="S5" s="25"/>
      <c r="T5" s="25"/>
      <c r="U5" s="25"/>
      <c r="V5" s="25"/>
      <c r="W5" s="25"/>
    </row>
    <row r="6" spans="1:23" x14ac:dyDescent="0.25">
      <c r="A6" t="s">
        <v>35</v>
      </c>
      <c r="H6" s="16">
        <v>0.95</v>
      </c>
      <c r="R6" s="25" t="s">
        <v>77</v>
      </c>
      <c r="S6" s="25"/>
      <c r="T6" s="25"/>
      <c r="U6" s="25"/>
      <c r="V6" s="25"/>
      <c r="W6" s="25"/>
    </row>
    <row r="7" spans="1:23" x14ac:dyDescent="0.25">
      <c r="A7" t="s">
        <v>36</v>
      </c>
      <c r="H7" s="15">
        <v>0.5</v>
      </c>
    </row>
    <row r="8" spans="1:23" x14ac:dyDescent="0.25">
      <c r="A8" t="s">
        <v>28</v>
      </c>
      <c r="H8" s="17">
        <v>200</v>
      </c>
      <c r="I8" t="s">
        <v>72</v>
      </c>
      <c r="L8" s="7">
        <v>375</v>
      </c>
    </row>
    <row r="9" spans="1:23" x14ac:dyDescent="0.25">
      <c r="A9" t="s">
        <v>39</v>
      </c>
      <c r="H9" s="13">
        <v>0.1</v>
      </c>
    </row>
    <row r="12" spans="1:23" x14ac:dyDescent="0.25">
      <c r="F12" s="10" t="s">
        <v>15</v>
      </c>
      <c r="G12" s="10" t="s">
        <v>16</v>
      </c>
      <c r="H12" s="10" t="s">
        <v>17</v>
      </c>
      <c r="I12" s="10" t="s">
        <v>18</v>
      </c>
      <c r="J12" s="10" t="s">
        <v>19</v>
      </c>
      <c r="K12" s="10" t="s">
        <v>20</v>
      </c>
      <c r="L12" s="10" t="s">
        <v>21</v>
      </c>
      <c r="M12" s="10" t="s">
        <v>22</v>
      </c>
      <c r="N12" s="10" t="s">
        <v>23</v>
      </c>
      <c r="O12" s="10" t="s">
        <v>24</v>
      </c>
      <c r="P12" s="10" t="s">
        <v>25</v>
      </c>
      <c r="Q12" s="10" t="s">
        <v>26</v>
      </c>
      <c r="R12" s="21" t="s">
        <v>4</v>
      </c>
      <c r="S12" s="21" t="s">
        <v>42</v>
      </c>
      <c r="T12" s="21" t="s">
        <v>43</v>
      </c>
      <c r="U12" s="21" t="s">
        <v>44</v>
      </c>
    </row>
    <row r="13" spans="1:23" x14ac:dyDescent="0.25">
      <c r="A13" t="s">
        <v>27</v>
      </c>
      <c r="F13" s="13">
        <v>0.64</v>
      </c>
      <c r="G13" s="13">
        <v>1.1100000000000001</v>
      </c>
      <c r="H13" s="13">
        <v>1.17</v>
      </c>
      <c r="I13" s="13">
        <v>2.66</v>
      </c>
      <c r="J13" s="13">
        <v>3.42</v>
      </c>
      <c r="K13" s="13">
        <v>4.26</v>
      </c>
      <c r="L13" s="13">
        <v>4.3</v>
      </c>
      <c r="M13" s="13">
        <v>5.6</v>
      </c>
      <c r="N13" s="13">
        <v>3.66</v>
      </c>
      <c r="O13" s="13">
        <v>2.2400000000000002</v>
      </c>
      <c r="P13" s="13">
        <v>0.62</v>
      </c>
      <c r="Q13" s="13">
        <v>0.53</v>
      </c>
      <c r="R13" s="22">
        <f>SUM(F13:Q13)</f>
        <v>30.209999999999997</v>
      </c>
      <c r="S13" s="22">
        <f t="shared" ref="S13:S16" si="0">AVERAGE(F13:Q13)</f>
        <v>2.5174999999999996</v>
      </c>
      <c r="T13" s="22">
        <f>MIN(F13:Q13)</f>
        <v>0.53</v>
      </c>
      <c r="U13" s="22">
        <f>MAX(F13:Q13)</f>
        <v>5.6</v>
      </c>
    </row>
    <row r="14" spans="1:23" x14ac:dyDescent="0.25">
      <c r="A14" t="s">
        <v>34</v>
      </c>
      <c r="F14" s="14">
        <v>8.25</v>
      </c>
      <c r="G14" s="14">
        <v>9.5</v>
      </c>
      <c r="H14" s="14">
        <v>10</v>
      </c>
      <c r="I14" s="14">
        <v>10</v>
      </c>
      <c r="J14" s="14">
        <v>10</v>
      </c>
      <c r="K14" s="14">
        <v>10</v>
      </c>
      <c r="L14" s="14">
        <v>12</v>
      </c>
      <c r="M14" s="14">
        <v>15</v>
      </c>
      <c r="N14" s="14">
        <v>12</v>
      </c>
      <c r="O14" s="14">
        <v>10</v>
      </c>
      <c r="P14" s="14">
        <v>8.25</v>
      </c>
      <c r="Q14" s="14">
        <v>8.25</v>
      </c>
      <c r="R14" s="19"/>
      <c r="S14" s="22">
        <f>AVERAGE(F14:Q14)</f>
        <v>10.270833333333334</v>
      </c>
      <c r="T14" s="22">
        <f t="shared" ref="T14:T16" si="1">MIN(F14:Q14)</f>
        <v>8.25</v>
      </c>
      <c r="U14" s="22">
        <f t="shared" ref="U14:U16" si="2">MAX(F14:Q14)</f>
        <v>15</v>
      </c>
    </row>
    <row r="15" spans="1:23" x14ac:dyDescent="0.25">
      <c r="A15" t="s">
        <v>37</v>
      </c>
      <c r="F15" s="15">
        <v>5.0000000000000001E-3</v>
      </c>
      <c r="G15" s="15">
        <v>5.0000000000000001E-3</v>
      </c>
      <c r="H15" s="15">
        <v>5.0000000000000001E-3</v>
      </c>
      <c r="I15" s="15">
        <v>5.0000000000000001E-3</v>
      </c>
      <c r="J15" s="15">
        <v>5.0000000000000001E-3</v>
      </c>
      <c r="K15" s="15">
        <v>5.0000000000000001E-3</v>
      </c>
      <c r="L15" s="15">
        <v>5.0000000000000001E-3</v>
      </c>
      <c r="M15" s="15">
        <v>5.0000000000000001E-3</v>
      </c>
      <c r="N15" s="15">
        <v>5.0000000000000001E-3</v>
      </c>
      <c r="O15" s="15">
        <v>5.0000000000000001E-3</v>
      </c>
      <c r="P15" s="15">
        <v>5.0000000000000001E-3</v>
      </c>
      <c r="Q15" s="15">
        <v>5.0000000000000001E-3</v>
      </c>
      <c r="R15" s="19"/>
      <c r="S15" s="23">
        <f t="shared" si="0"/>
        <v>4.9999999999999992E-3</v>
      </c>
      <c r="T15" s="23">
        <f t="shared" si="1"/>
        <v>5.0000000000000001E-3</v>
      </c>
      <c r="U15" s="23">
        <f t="shared" si="2"/>
        <v>5.0000000000000001E-3</v>
      </c>
    </row>
    <row r="16" spans="1:23" x14ac:dyDescent="0.25">
      <c r="A16" t="s">
        <v>38</v>
      </c>
      <c r="F16" s="13">
        <v>0.25</v>
      </c>
      <c r="G16" s="13">
        <v>0.25</v>
      </c>
      <c r="H16" s="13">
        <v>0.25</v>
      </c>
      <c r="I16" s="13">
        <v>0.25</v>
      </c>
      <c r="J16" s="13">
        <v>0.25</v>
      </c>
      <c r="K16" s="13">
        <v>0.25</v>
      </c>
      <c r="L16" s="13">
        <v>0.25</v>
      </c>
      <c r="M16" s="13">
        <v>0.25</v>
      </c>
      <c r="N16" s="13">
        <v>0.25</v>
      </c>
      <c r="O16" s="13">
        <v>0.25</v>
      </c>
      <c r="P16" s="13">
        <v>0.25</v>
      </c>
      <c r="Q16" s="13">
        <v>0.25</v>
      </c>
      <c r="R16" s="19"/>
      <c r="S16" s="22">
        <f t="shared" si="0"/>
        <v>0.25</v>
      </c>
      <c r="T16" s="22">
        <f t="shared" si="1"/>
        <v>0.25</v>
      </c>
      <c r="U16" s="22">
        <f t="shared" si="2"/>
        <v>0.25</v>
      </c>
    </row>
    <row r="19" spans="1:9" x14ac:dyDescent="0.25">
      <c r="A19" s="24" t="s">
        <v>57</v>
      </c>
    </row>
    <row r="20" spans="1:9" x14ac:dyDescent="0.25">
      <c r="A20" t="s">
        <v>45</v>
      </c>
      <c r="H20" s="18">
        <f>J26+IF(MIN(Daily!F3:F366) &lt; 0,0,MIN(Daily!F3:F366))</f>
        <v>1.583170214296052</v>
      </c>
      <c r="I20" t="s">
        <v>59</v>
      </c>
    </row>
    <row r="21" spans="1:9" x14ac:dyDescent="0.25">
      <c r="A21" t="s">
        <v>46</v>
      </c>
      <c r="H21" s="19">
        <f>COUNTIF(Daily!F3:F366,"&lt;" &amp;T14)</f>
        <v>11</v>
      </c>
      <c r="I21" t="s">
        <v>61</v>
      </c>
    </row>
    <row r="22" spans="1:9" x14ac:dyDescent="0.25">
      <c r="A22" t="s">
        <v>48</v>
      </c>
      <c r="H22" s="19">
        <f>COUNTIF(Daily!F2:F366,"&lt;=0")</f>
        <v>0</v>
      </c>
      <c r="I22" t="s">
        <v>60</v>
      </c>
    </row>
    <row r="23" spans="1:9" x14ac:dyDescent="0.25">
      <c r="A23" t="s">
        <v>47</v>
      </c>
      <c r="H23" s="19">
        <f>COUNTIF(Daily!F2:F366,"&gt;=" &amp;MaxPowerStore)</f>
        <v>193</v>
      </c>
      <c r="I23" t="s">
        <v>58</v>
      </c>
    </row>
    <row r="24" spans="1:9" x14ac:dyDescent="0.25">
      <c r="A24" t="s">
        <v>49</v>
      </c>
      <c r="H24" s="20">
        <f>Daily!H370</f>
        <v>2883.1372413334561</v>
      </c>
      <c r="I24" t="s">
        <v>80</v>
      </c>
    </row>
    <row r="26" spans="1:9" x14ac:dyDescent="0.25">
      <c r="A26" t="s">
        <v>73</v>
      </c>
      <c r="H26" s="31">
        <f>SolarMaxGenCap*L5</f>
        <v>15000</v>
      </c>
    </row>
    <row r="27" spans="1:9" x14ac:dyDescent="0.25">
      <c r="A27" t="s">
        <v>74</v>
      </c>
      <c r="H27" s="31">
        <f>MaxPowerStore*L8</f>
        <v>75000</v>
      </c>
    </row>
    <row r="28" spans="1:9" x14ac:dyDescent="0.25">
      <c r="A28" t="s">
        <v>75</v>
      </c>
      <c r="H28" s="31">
        <f>H26+H27</f>
        <v>90000</v>
      </c>
    </row>
  </sheetData>
  <sheetProtection algorithmName="SHA-512" hashValue="7b4gJM7bTSzsDLTqAJFmtxgxUql60ZLCbIAxZzIP1e2bWJ2kJHWHK/9QWvVEaDxL8nBtBiJXDAXu98T4y9zxGQ==" saltValue="sD4pzB22TCXV8iETdQIC1w==" spinCount="100000" sheet="1" objects="1" scenarios="1"/>
  <dataValidations count="1">
    <dataValidation type="decimal" allowBlank="1" showInputMessage="1" showErrorMessage="1" errorTitle="Invalid Value" error="Enter a value between 0.0 and 100" sqref="H6:H7">
      <formula1>0</formula1>
      <formula2>100</formula2>
    </dataValidation>
  </dataValidations>
  <hyperlinks>
    <hyperlink ref="R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0"/>
  <sheetViews>
    <sheetView workbookViewId="0">
      <pane ySplit="1200" topLeftCell="A352" activePane="bottomLeft"/>
      <selection activeCell="I18" sqref="I18"/>
      <selection pane="bottomLeft" activeCell="E367" sqref="E367"/>
    </sheetView>
  </sheetViews>
  <sheetFormatPr defaultRowHeight="15" x14ac:dyDescent="0.25"/>
  <cols>
    <col min="1" max="2" width="7.7109375" customWidth="1"/>
    <col min="3" max="3" width="12.7109375" customWidth="1"/>
    <col min="4" max="4" width="12.7109375" style="8" customWidth="1"/>
    <col min="5" max="8" width="12.7109375" customWidth="1"/>
  </cols>
  <sheetData>
    <row r="1" spans="1:8" ht="60" x14ac:dyDescent="0.25">
      <c r="A1" s="10" t="s">
        <v>30</v>
      </c>
      <c r="B1" s="10" t="s">
        <v>31</v>
      </c>
      <c r="C1" s="11" t="s">
        <v>41</v>
      </c>
      <c r="D1" s="12" t="s">
        <v>52</v>
      </c>
      <c r="E1" s="11" t="s">
        <v>50</v>
      </c>
      <c r="F1" s="11" t="s">
        <v>51</v>
      </c>
      <c r="G1" s="11" t="s">
        <v>53</v>
      </c>
      <c r="H1" s="11" t="s">
        <v>54</v>
      </c>
    </row>
    <row r="2" spans="1:8" x14ac:dyDescent="0.25">
      <c r="A2" t="s">
        <v>29</v>
      </c>
      <c r="B2">
        <v>1</v>
      </c>
      <c r="C2" s="3">
        <f t="shared" ref="C2:C31" si="0">AprSunHours*SolarMaxGenCap*SolarEfficiency</f>
        <v>30.324000000000002</v>
      </c>
      <c r="D2" s="8">
        <f t="shared" ref="D2:D31" si="1">(AprSunHours*(SolarMaxGenCap*SolarEfficiency))-AprPowerUse</f>
        <v>20.323999999999998</v>
      </c>
      <c r="E2" s="2">
        <f t="shared" ref="E2:E65" si="2">IF(D2&gt;MinWastedPower,(D2-MinWastedPower)*RoundtripEfficiency,0)</f>
        <v>10.111999999999998</v>
      </c>
      <c r="F2" s="3">
        <f>E2</f>
        <v>10.111999999999998</v>
      </c>
    </row>
    <row r="3" spans="1:8" x14ac:dyDescent="0.25">
      <c r="A3" t="s">
        <v>29</v>
      </c>
      <c r="B3">
        <v>2</v>
      </c>
      <c r="C3" s="3">
        <f t="shared" si="0"/>
        <v>30.324000000000002</v>
      </c>
      <c r="D3" s="8">
        <f t="shared" si="1"/>
        <v>20.323999999999998</v>
      </c>
      <c r="E3" s="2">
        <f t="shared" si="2"/>
        <v>10.111999999999998</v>
      </c>
      <c r="F3" s="3">
        <f t="shared" ref="F3:F31" si="3">IF((F2*(1-AprDailyLossPct)-AprDailyLossAbs)+E3&gt;MaxPowerStore,MaxPowerStore,(IF(F2+E3&gt;0.1,(F2*(1-AprDailyLossPct)-AprDailyLossAbs)+ (IF(D3&lt;0,D3,E3)),0)))</f>
        <v>19.923439999999996</v>
      </c>
      <c r="G3" s="2">
        <f t="shared" ref="G3:G31" si="4">IF(F3&gt;0,AprDailyLossAbs+(F2*AprDailyLossPct),0)</f>
        <v>0.30055999999999999</v>
      </c>
      <c r="H3" s="2">
        <f t="shared" ref="H3:H17" si="5">IF(E3&gt;0,E3-G3-(F3-F2),0)</f>
        <v>0</v>
      </c>
    </row>
    <row r="4" spans="1:8" x14ac:dyDescent="0.25">
      <c r="A4" t="s">
        <v>29</v>
      </c>
      <c r="B4">
        <v>3</v>
      </c>
      <c r="C4" s="3">
        <f t="shared" si="0"/>
        <v>30.324000000000002</v>
      </c>
      <c r="D4" s="8">
        <f t="shared" si="1"/>
        <v>20.323999999999998</v>
      </c>
      <c r="E4" s="2">
        <f t="shared" si="2"/>
        <v>10.111999999999998</v>
      </c>
      <c r="F4" s="3">
        <f t="shared" si="3"/>
        <v>29.685822799999993</v>
      </c>
      <c r="G4" s="2">
        <f t="shared" si="4"/>
        <v>0.34961719999999996</v>
      </c>
      <c r="H4" s="2">
        <f t="shared" si="5"/>
        <v>0</v>
      </c>
    </row>
    <row r="5" spans="1:8" x14ac:dyDescent="0.25">
      <c r="A5" t="s">
        <v>29</v>
      </c>
      <c r="B5">
        <v>4</v>
      </c>
      <c r="C5" s="3">
        <f t="shared" si="0"/>
        <v>30.324000000000002</v>
      </c>
      <c r="D5" s="8">
        <f t="shared" si="1"/>
        <v>20.323999999999998</v>
      </c>
      <c r="E5" s="2">
        <f t="shared" si="2"/>
        <v>10.111999999999998</v>
      </c>
      <c r="F5" s="3">
        <f t="shared" si="3"/>
        <v>39.399393685999996</v>
      </c>
      <c r="G5" s="2">
        <f t="shared" si="4"/>
        <v>0.39842911399999997</v>
      </c>
      <c r="H5" s="2">
        <f t="shared" si="5"/>
        <v>-5.3290705182007514E-15</v>
      </c>
    </row>
    <row r="6" spans="1:8" x14ac:dyDescent="0.25">
      <c r="A6" t="s">
        <v>29</v>
      </c>
      <c r="B6">
        <v>5</v>
      </c>
      <c r="C6" s="3">
        <f t="shared" si="0"/>
        <v>30.324000000000002</v>
      </c>
      <c r="D6" s="8">
        <f t="shared" si="1"/>
        <v>20.323999999999998</v>
      </c>
      <c r="E6" s="2">
        <f t="shared" si="2"/>
        <v>10.111999999999998</v>
      </c>
      <c r="F6" s="3">
        <f t="shared" si="3"/>
        <v>49.064396717569991</v>
      </c>
      <c r="G6" s="2">
        <f t="shared" si="4"/>
        <v>0.44699696842999997</v>
      </c>
      <c r="H6" s="2">
        <f t="shared" si="5"/>
        <v>3.5527136788005009E-15</v>
      </c>
    </row>
    <row r="7" spans="1:8" x14ac:dyDescent="0.25">
      <c r="A7" t="s">
        <v>29</v>
      </c>
      <c r="B7">
        <v>6</v>
      </c>
      <c r="C7" s="3">
        <f t="shared" si="0"/>
        <v>30.324000000000002</v>
      </c>
      <c r="D7" s="8">
        <f t="shared" si="1"/>
        <v>20.323999999999998</v>
      </c>
      <c r="E7" s="2">
        <f t="shared" si="2"/>
        <v>10.111999999999998</v>
      </c>
      <c r="F7" s="3">
        <f t="shared" si="3"/>
        <v>58.681074733982143</v>
      </c>
      <c r="G7" s="2">
        <f t="shared" si="4"/>
        <v>0.49532198358784996</v>
      </c>
      <c r="H7" s="2">
        <f t="shared" si="5"/>
        <v>-3.5527136788005009E-15</v>
      </c>
    </row>
    <row r="8" spans="1:8" x14ac:dyDescent="0.25">
      <c r="A8" t="s">
        <v>29</v>
      </c>
      <c r="B8">
        <v>7</v>
      </c>
      <c r="C8" s="3">
        <f t="shared" si="0"/>
        <v>30.324000000000002</v>
      </c>
      <c r="D8" s="8">
        <f t="shared" si="1"/>
        <v>20.323999999999998</v>
      </c>
      <c r="E8" s="2">
        <f t="shared" si="2"/>
        <v>10.111999999999998</v>
      </c>
      <c r="F8" s="3">
        <f t="shared" si="3"/>
        <v>68.249669360312225</v>
      </c>
      <c r="G8" s="2">
        <f t="shared" si="4"/>
        <v>0.54340537366991071</v>
      </c>
      <c r="H8" s="2">
        <f t="shared" si="5"/>
        <v>5.3290705182007514E-15</v>
      </c>
    </row>
    <row r="9" spans="1:8" x14ac:dyDescent="0.25">
      <c r="A9" t="s">
        <v>29</v>
      </c>
      <c r="B9">
        <v>8</v>
      </c>
      <c r="C9" s="3">
        <f t="shared" si="0"/>
        <v>30.324000000000002</v>
      </c>
      <c r="D9" s="8">
        <f t="shared" si="1"/>
        <v>20.323999999999998</v>
      </c>
      <c r="E9" s="2">
        <f t="shared" si="2"/>
        <v>10.111999999999998</v>
      </c>
      <c r="F9" s="3">
        <f t="shared" si="3"/>
        <v>77.770421013510656</v>
      </c>
      <c r="G9" s="2">
        <f t="shared" si="4"/>
        <v>0.59124834680156113</v>
      </c>
      <c r="H9" s="2">
        <f t="shared" si="5"/>
        <v>5.3290705182007514E-15</v>
      </c>
    </row>
    <row r="10" spans="1:8" x14ac:dyDescent="0.25">
      <c r="A10" t="s">
        <v>29</v>
      </c>
      <c r="B10">
        <v>9</v>
      </c>
      <c r="C10" s="3">
        <f t="shared" si="0"/>
        <v>30.324000000000002</v>
      </c>
      <c r="D10" s="8">
        <f t="shared" si="1"/>
        <v>20.323999999999998</v>
      </c>
      <c r="E10" s="2">
        <f t="shared" si="2"/>
        <v>10.111999999999998</v>
      </c>
      <c r="F10" s="3">
        <f t="shared" si="3"/>
        <v>87.243568908443095</v>
      </c>
      <c r="G10" s="2">
        <f t="shared" si="4"/>
        <v>0.6388521050675533</v>
      </c>
      <c r="H10" s="2">
        <f t="shared" si="5"/>
        <v>7.1054273576010019E-15</v>
      </c>
    </row>
    <row r="11" spans="1:8" x14ac:dyDescent="0.25">
      <c r="A11" t="s">
        <v>29</v>
      </c>
      <c r="B11">
        <v>10</v>
      </c>
      <c r="C11" s="3">
        <f t="shared" si="0"/>
        <v>30.324000000000002</v>
      </c>
      <c r="D11" s="8">
        <f t="shared" si="1"/>
        <v>20.323999999999998</v>
      </c>
      <c r="E11" s="2">
        <f t="shared" si="2"/>
        <v>10.111999999999998</v>
      </c>
      <c r="F11" s="3">
        <f t="shared" si="3"/>
        <v>96.669351063900876</v>
      </c>
      <c r="G11" s="2">
        <f t="shared" si="4"/>
        <v>0.68621784454221546</v>
      </c>
      <c r="H11" s="2">
        <f t="shared" si="5"/>
        <v>1.7763568394002505E-15</v>
      </c>
    </row>
    <row r="12" spans="1:8" x14ac:dyDescent="0.25">
      <c r="A12" t="s">
        <v>29</v>
      </c>
      <c r="B12">
        <v>11</v>
      </c>
      <c r="C12" s="3">
        <f t="shared" si="0"/>
        <v>30.324000000000002</v>
      </c>
      <c r="D12" s="8">
        <f t="shared" si="1"/>
        <v>20.323999999999998</v>
      </c>
      <c r="E12" s="2">
        <f t="shared" si="2"/>
        <v>10.111999999999998</v>
      </c>
      <c r="F12" s="3">
        <f t="shared" si="3"/>
        <v>106.04800430858137</v>
      </c>
      <c r="G12" s="2">
        <f t="shared" si="4"/>
        <v>0.73334675531950433</v>
      </c>
      <c r="H12" s="2">
        <f t="shared" si="5"/>
        <v>1.7763568394002505E-15</v>
      </c>
    </row>
    <row r="13" spans="1:8" x14ac:dyDescent="0.25">
      <c r="A13" t="s">
        <v>29</v>
      </c>
      <c r="B13">
        <v>12</v>
      </c>
      <c r="C13" s="3">
        <f t="shared" si="0"/>
        <v>30.324000000000002</v>
      </c>
      <c r="D13" s="8">
        <f t="shared" si="1"/>
        <v>20.323999999999998</v>
      </c>
      <c r="E13" s="2">
        <f t="shared" si="2"/>
        <v>10.111999999999998</v>
      </c>
      <c r="F13" s="3">
        <f t="shared" si="3"/>
        <v>115.37976428703845</v>
      </c>
      <c r="G13" s="2">
        <f t="shared" si="4"/>
        <v>0.78024002154290684</v>
      </c>
      <c r="H13" s="2">
        <f t="shared" si="5"/>
        <v>5.3290705182007514E-15</v>
      </c>
    </row>
    <row r="14" spans="1:8" x14ac:dyDescent="0.25">
      <c r="A14" t="s">
        <v>29</v>
      </c>
      <c r="B14">
        <v>13</v>
      </c>
      <c r="C14" s="3">
        <f t="shared" si="0"/>
        <v>30.324000000000002</v>
      </c>
      <c r="D14" s="8">
        <f t="shared" si="1"/>
        <v>20.323999999999998</v>
      </c>
      <c r="E14" s="2">
        <f t="shared" si="2"/>
        <v>10.111999999999998</v>
      </c>
      <c r="F14" s="3">
        <f t="shared" si="3"/>
        <v>124.66486546560326</v>
      </c>
      <c r="G14" s="2">
        <f t="shared" si="4"/>
        <v>0.82689882143519233</v>
      </c>
      <c r="H14" s="2">
        <f t="shared" si="5"/>
        <v>5.3290705182007514E-15</v>
      </c>
    </row>
    <row r="15" spans="1:8" x14ac:dyDescent="0.25">
      <c r="A15" t="s">
        <v>29</v>
      </c>
      <c r="B15">
        <v>14</v>
      </c>
      <c r="C15" s="3">
        <f t="shared" si="0"/>
        <v>30.324000000000002</v>
      </c>
      <c r="D15" s="8">
        <f t="shared" si="1"/>
        <v>20.323999999999998</v>
      </c>
      <c r="E15" s="2">
        <f t="shared" si="2"/>
        <v>10.111999999999998</v>
      </c>
      <c r="F15" s="3">
        <f t="shared" si="3"/>
        <v>133.90354113827524</v>
      </c>
      <c r="G15" s="2">
        <f t="shared" si="4"/>
        <v>0.87332432732801635</v>
      </c>
      <c r="H15" s="2">
        <f t="shared" si="5"/>
        <v>-5.3290705182007514E-15</v>
      </c>
    </row>
    <row r="16" spans="1:8" x14ac:dyDescent="0.25">
      <c r="A16" t="s">
        <v>29</v>
      </c>
      <c r="B16">
        <v>15</v>
      </c>
      <c r="C16" s="3">
        <f t="shared" si="0"/>
        <v>30.324000000000002</v>
      </c>
      <c r="D16" s="8">
        <f t="shared" si="1"/>
        <v>20.323999999999998</v>
      </c>
      <c r="E16" s="2">
        <f t="shared" si="2"/>
        <v>10.111999999999998</v>
      </c>
      <c r="F16" s="3">
        <f t="shared" si="3"/>
        <v>143.09602343258385</v>
      </c>
      <c r="G16" s="2">
        <f t="shared" si="4"/>
        <v>0.91951770569137625</v>
      </c>
      <c r="H16" s="2">
        <f t="shared" si="5"/>
        <v>1.7763568394002505E-14</v>
      </c>
    </row>
    <row r="17" spans="1:8" x14ac:dyDescent="0.25">
      <c r="A17" t="s">
        <v>29</v>
      </c>
      <c r="B17">
        <v>16</v>
      </c>
      <c r="C17" s="3">
        <f t="shared" si="0"/>
        <v>30.324000000000002</v>
      </c>
      <c r="D17" s="8">
        <f t="shared" si="1"/>
        <v>20.323999999999998</v>
      </c>
      <c r="E17" s="2">
        <f t="shared" si="2"/>
        <v>10.111999999999998</v>
      </c>
      <c r="F17" s="3">
        <f t="shared" si="3"/>
        <v>152.24254331542093</v>
      </c>
      <c r="G17" s="2">
        <f t="shared" si="4"/>
        <v>0.96548011716291926</v>
      </c>
      <c r="H17" s="2">
        <f t="shared" si="5"/>
        <v>-3.5527136788005009E-15</v>
      </c>
    </row>
    <row r="18" spans="1:8" x14ac:dyDescent="0.25">
      <c r="A18" t="s">
        <v>29</v>
      </c>
      <c r="B18">
        <v>17</v>
      </c>
      <c r="C18" s="3">
        <f t="shared" si="0"/>
        <v>30.324000000000002</v>
      </c>
      <c r="D18" s="8">
        <f t="shared" si="1"/>
        <v>20.323999999999998</v>
      </c>
      <c r="E18" s="2">
        <f t="shared" si="2"/>
        <v>10.111999999999998</v>
      </c>
      <c r="F18" s="3">
        <f t="shared" si="3"/>
        <v>161.34333059884383</v>
      </c>
      <c r="G18" s="2">
        <f t="shared" si="4"/>
        <v>1.0112127165771048</v>
      </c>
      <c r="H18" s="2">
        <f t="shared" ref="H18:H63" si="6">IF(E18&gt;0,E18-G18-(F18-F17),0)</f>
        <v>-1.0658141036401503E-14</v>
      </c>
    </row>
    <row r="19" spans="1:8" x14ac:dyDescent="0.25">
      <c r="A19" t="s">
        <v>29</v>
      </c>
      <c r="B19">
        <v>18</v>
      </c>
      <c r="C19" s="3">
        <f t="shared" si="0"/>
        <v>30.324000000000002</v>
      </c>
      <c r="D19" s="8">
        <f t="shared" si="1"/>
        <v>20.323999999999998</v>
      </c>
      <c r="E19" s="2">
        <f t="shared" si="2"/>
        <v>10.111999999999998</v>
      </c>
      <c r="F19" s="3">
        <f t="shared" si="3"/>
        <v>170.3986139458496</v>
      </c>
      <c r="G19" s="2">
        <f t="shared" si="4"/>
        <v>1.0567166529942194</v>
      </c>
      <c r="H19" s="2">
        <f t="shared" si="6"/>
        <v>1.0658141036401503E-14</v>
      </c>
    </row>
    <row r="20" spans="1:8" x14ac:dyDescent="0.25">
      <c r="A20" t="s">
        <v>29</v>
      </c>
      <c r="B20">
        <v>19</v>
      </c>
      <c r="C20" s="3">
        <f t="shared" si="0"/>
        <v>30.324000000000002</v>
      </c>
      <c r="D20" s="8">
        <f t="shared" si="1"/>
        <v>20.323999999999998</v>
      </c>
      <c r="E20" s="2">
        <f t="shared" si="2"/>
        <v>10.111999999999998</v>
      </c>
      <c r="F20" s="3">
        <f t="shared" si="3"/>
        <v>179.40862087612035</v>
      </c>
      <c r="G20" s="2">
        <f t="shared" si="4"/>
        <v>1.1019930697292479</v>
      </c>
      <c r="H20" s="2">
        <f t="shared" si="6"/>
        <v>1.7763568394002505E-15</v>
      </c>
    </row>
    <row r="21" spans="1:8" x14ac:dyDescent="0.25">
      <c r="A21" t="s">
        <v>29</v>
      </c>
      <c r="B21">
        <v>20</v>
      </c>
      <c r="C21" s="3">
        <f t="shared" si="0"/>
        <v>30.324000000000002</v>
      </c>
      <c r="D21" s="8">
        <f t="shared" si="1"/>
        <v>20.323999999999998</v>
      </c>
      <c r="E21" s="2">
        <f t="shared" si="2"/>
        <v>10.111999999999998</v>
      </c>
      <c r="F21" s="3">
        <f t="shared" si="3"/>
        <v>188.37357777173975</v>
      </c>
      <c r="G21" s="2">
        <f t="shared" si="4"/>
        <v>1.1470431043806018</v>
      </c>
      <c r="H21" s="2">
        <f t="shared" si="6"/>
        <v>1.7763568394002505E-15</v>
      </c>
    </row>
    <row r="22" spans="1:8" x14ac:dyDescent="0.25">
      <c r="A22" t="s">
        <v>29</v>
      </c>
      <c r="B22">
        <v>21</v>
      </c>
      <c r="C22" s="3">
        <f t="shared" si="0"/>
        <v>30.324000000000002</v>
      </c>
      <c r="D22" s="8">
        <f t="shared" si="1"/>
        <v>20.323999999999998</v>
      </c>
      <c r="E22" s="2">
        <f t="shared" si="2"/>
        <v>10.111999999999998</v>
      </c>
      <c r="F22" s="3">
        <f t="shared" si="3"/>
        <v>197.29370988288105</v>
      </c>
      <c r="G22" s="2">
        <f t="shared" si="4"/>
        <v>1.1918678888586989</v>
      </c>
      <c r="H22" s="2">
        <f t="shared" si="6"/>
        <v>0</v>
      </c>
    </row>
    <row r="23" spans="1:8" x14ac:dyDescent="0.25">
      <c r="A23" t="s">
        <v>29</v>
      </c>
      <c r="B23">
        <v>22</v>
      </c>
      <c r="C23" s="3">
        <f t="shared" si="0"/>
        <v>30.324000000000002</v>
      </c>
      <c r="D23" s="8">
        <f t="shared" si="1"/>
        <v>20.323999999999998</v>
      </c>
      <c r="E23" s="2">
        <f t="shared" si="2"/>
        <v>10.111999999999998</v>
      </c>
      <c r="F23" s="3">
        <f t="shared" si="3"/>
        <v>200</v>
      </c>
      <c r="G23" s="2">
        <f t="shared" si="4"/>
        <v>1.2364685494144052</v>
      </c>
      <c r="H23" s="2">
        <f t="shared" si="6"/>
        <v>6.1692413334666387</v>
      </c>
    </row>
    <row r="24" spans="1:8" x14ac:dyDescent="0.25">
      <c r="A24" t="s">
        <v>29</v>
      </c>
      <c r="B24">
        <v>23</v>
      </c>
      <c r="C24" s="3">
        <f t="shared" si="0"/>
        <v>30.324000000000002</v>
      </c>
      <c r="D24" s="8">
        <f t="shared" si="1"/>
        <v>20.323999999999998</v>
      </c>
      <c r="E24" s="2">
        <f t="shared" si="2"/>
        <v>10.111999999999998</v>
      </c>
      <c r="F24" s="3">
        <f t="shared" si="3"/>
        <v>200</v>
      </c>
      <c r="G24" s="2">
        <f t="shared" si="4"/>
        <v>1.25</v>
      </c>
      <c r="H24" s="2">
        <f t="shared" si="6"/>
        <v>8.8619999999999983</v>
      </c>
    </row>
    <row r="25" spans="1:8" x14ac:dyDescent="0.25">
      <c r="A25" t="s">
        <v>29</v>
      </c>
      <c r="B25">
        <v>24</v>
      </c>
      <c r="C25" s="3">
        <f t="shared" si="0"/>
        <v>30.324000000000002</v>
      </c>
      <c r="D25" s="8">
        <f t="shared" si="1"/>
        <v>20.323999999999998</v>
      </c>
      <c r="E25" s="2">
        <f t="shared" si="2"/>
        <v>10.111999999999998</v>
      </c>
      <c r="F25" s="3">
        <f t="shared" si="3"/>
        <v>200</v>
      </c>
      <c r="G25" s="2">
        <f t="shared" si="4"/>
        <v>1.25</v>
      </c>
      <c r="H25" s="2">
        <f t="shared" si="6"/>
        <v>8.8619999999999983</v>
      </c>
    </row>
    <row r="26" spans="1:8" x14ac:dyDescent="0.25">
      <c r="A26" t="s">
        <v>29</v>
      </c>
      <c r="B26">
        <v>25</v>
      </c>
      <c r="C26" s="3">
        <f t="shared" si="0"/>
        <v>30.324000000000002</v>
      </c>
      <c r="D26" s="8">
        <f t="shared" si="1"/>
        <v>20.323999999999998</v>
      </c>
      <c r="E26" s="2">
        <f t="shared" si="2"/>
        <v>10.111999999999998</v>
      </c>
      <c r="F26" s="3">
        <f t="shared" si="3"/>
        <v>200</v>
      </c>
      <c r="G26" s="2">
        <f t="shared" si="4"/>
        <v>1.25</v>
      </c>
      <c r="H26" s="2">
        <f t="shared" si="6"/>
        <v>8.8619999999999983</v>
      </c>
    </row>
    <row r="27" spans="1:8" x14ac:dyDescent="0.25">
      <c r="A27" t="s">
        <v>29</v>
      </c>
      <c r="B27">
        <v>26</v>
      </c>
      <c r="C27" s="3">
        <f t="shared" si="0"/>
        <v>30.324000000000002</v>
      </c>
      <c r="D27" s="8">
        <f t="shared" si="1"/>
        <v>20.323999999999998</v>
      </c>
      <c r="E27" s="2">
        <f t="shared" si="2"/>
        <v>10.111999999999998</v>
      </c>
      <c r="F27" s="3">
        <f t="shared" si="3"/>
        <v>200</v>
      </c>
      <c r="G27" s="2">
        <f t="shared" si="4"/>
        <v>1.25</v>
      </c>
      <c r="H27" s="2">
        <f t="shared" si="6"/>
        <v>8.8619999999999983</v>
      </c>
    </row>
    <row r="28" spans="1:8" x14ac:dyDescent="0.25">
      <c r="A28" t="s">
        <v>29</v>
      </c>
      <c r="B28">
        <v>27</v>
      </c>
      <c r="C28" s="3">
        <f t="shared" si="0"/>
        <v>30.324000000000002</v>
      </c>
      <c r="D28" s="8">
        <f t="shared" si="1"/>
        <v>20.323999999999998</v>
      </c>
      <c r="E28" s="2">
        <f t="shared" si="2"/>
        <v>10.111999999999998</v>
      </c>
      <c r="F28" s="3">
        <f t="shared" si="3"/>
        <v>200</v>
      </c>
      <c r="G28" s="2">
        <f t="shared" si="4"/>
        <v>1.25</v>
      </c>
      <c r="H28" s="2">
        <f t="shared" si="6"/>
        <v>8.8619999999999983</v>
      </c>
    </row>
    <row r="29" spans="1:8" x14ac:dyDescent="0.25">
      <c r="A29" t="s">
        <v>29</v>
      </c>
      <c r="B29">
        <v>28</v>
      </c>
      <c r="C29" s="3">
        <f t="shared" si="0"/>
        <v>30.324000000000002</v>
      </c>
      <c r="D29" s="8">
        <f t="shared" si="1"/>
        <v>20.323999999999998</v>
      </c>
      <c r="E29" s="2">
        <f t="shared" si="2"/>
        <v>10.111999999999998</v>
      </c>
      <c r="F29" s="3">
        <f t="shared" si="3"/>
        <v>200</v>
      </c>
      <c r="G29" s="2">
        <f t="shared" si="4"/>
        <v>1.25</v>
      </c>
      <c r="H29" s="2">
        <f t="shared" si="6"/>
        <v>8.8619999999999983</v>
      </c>
    </row>
    <row r="30" spans="1:8" x14ac:dyDescent="0.25">
      <c r="A30" t="s">
        <v>29</v>
      </c>
      <c r="B30">
        <v>29</v>
      </c>
      <c r="C30" s="3">
        <f t="shared" si="0"/>
        <v>30.324000000000002</v>
      </c>
      <c r="D30" s="8">
        <f t="shared" si="1"/>
        <v>20.323999999999998</v>
      </c>
      <c r="E30" s="2">
        <f t="shared" si="2"/>
        <v>10.111999999999998</v>
      </c>
      <c r="F30" s="3">
        <f t="shared" si="3"/>
        <v>200</v>
      </c>
      <c r="G30" s="2">
        <f t="shared" si="4"/>
        <v>1.25</v>
      </c>
      <c r="H30" s="2">
        <f t="shared" si="6"/>
        <v>8.8619999999999983</v>
      </c>
    </row>
    <row r="31" spans="1:8" x14ac:dyDescent="0.25">
      <c r="A31" t="s">
        <v>29</v>
      </c>
      <c r="B31">
        <v>30</v>
      </c>
      <c r="C31" s="3">
        <f t="shared" si="0"/>
        <v>30.324000000000002</v>
      </c>
      <c r="D31" s="8">
        <f t="shared" si="1"/>
        <v>20.323999999999998</v>
      </c>
      <c r="E31" s="2">
        <f t="shared" si="2"/>
        <v>10.111999999999998</v>
      </c>
      <c r="F31" s="3">
        <f t="shared" si="3"/>
        <v>200</v>
      </c>
      <c r="G31" s="2">
        <f t="shared" si="4"/>
        <v>1.25</v>
      </c>
      <c r="H31" s="2">
        <f t="shared" si="6"/>
        <v>8.8619999999999983</v>
      </c>
    </row>
    <row r="32" spans="1:8" x14ac:dyDescent="0.25">
      <c r="A32" t="s">
        <v>19</v>
      </c>
      <c r="B32">
        <v>1</v>
      </c>
      <c r="C32" s="3">
        <f t="shared" ref="C32:C62" si="7">MaySunHours*SolarMaxGenCap*SolarEfficiency</f>
        <v>38.988</v>
      </c>
      <c r="D32" s="8">
        <f t="shared" ref="D32:D62" si="8">(MaySunHours*(SolarMaxGenCap*SolarEfficiency))-MayPowerUse</f>
        <v>28.987999999999992</v>
      </c>
      <c r="E32" s="2">
        <f t="shared" si="2"/>
        <v>14.443999999999996</v>
      </c>
      <c r="F32" s="3">
        <f t="shared" ref="F32:F62" si="9">IF((F31*(1-MayDailyLossPct)-MayDailyLossAbs)+E32&gt;MaxPowerStore,MaxPowerStore,(IF(F31+E32&gt;0.1,(F31*(1-MayDailyLossPct)-MayDailyLossAbs)+ (IF(D32&lt;0,D32,E32)),0)))</f>
        <v>200</v>
      </c>
      <c r="G32" s="2">
        <f t="shared" ref="G32:G62" si="10">IF(F32&gt;0,MayDailyLossAbs+(F31*MayDailyLossPct),0)</f>
        <v>1.25</v>
      </c>
      <c r="H32" s="2">
        <f t="shared" si="6"/>
        <v>13.193999999999996</v>
      </c>
    </row>
    <row r="33" spans="1:8" x14ac:dyDescent="0.25">
      <c r="A33" t="s">
        <v>19</v>
      </c>
      <c r="B33">
        <v>2</v>
      </c>
      <c r="C33" s="3">
        <f t="shared" si="7"/>
        <v>38.988</v>
      </c>
      <c r="D33" s="8">
        <f t="shared" si="8"/>
        <v>28.987999999999992</v>
      </c>
      <c r="E33" s="2">
        <f t="shared" si="2"/>
        <v>14.443999999999996</v>
      </c>
      <c r="F33" s="3">
        <f t="shared" si="9"/>
        <v>200</v>
      </c>
      <c r="G33" s="2">
        <f t="shared" si="10"/>
        <v>1.25</v>
      </c>
      <c r="H33" s="2">
        <f t="shared" ref="H33:H62" si="11">IF(E33&gt;0,E33-G33-(F33-F32),0)</f>
        <v>13.193999999999996</v>
      </c>
    </row>
    <row r="34" spans="1:8" x14ac:dyDescent="0.25">
      <c r="A34" t="s">
        <v>19</v>
      </c>
      <c r="B34">
        <v>3</v>
      </c>
      <c r="C34" s="3">
        <f t="shared" si="7"/>
        <v>38.988</v>
      </c>
      <c r="D34" s="8">
        <f t="shared" si="8"/>
        <v>28.987999999999992</v>
      </c>
      <c r="E34" s="2">
        <f t="shared" si="2"/>
        <v>14.443999999999996</v>
      </c>
      <c r="F34" s="3">
        <f t="shared" si="9"/>
        <v>200</v>
      </c>
      <c r="G34" s="2">
        <f t="shared" si="10"/>
        <v>1.25</v>
      </c>
      <c r="H34" s="2">
        <f t="shared" si="11"/>
        <v>13.193999999999996</v>
      </c>
    </row>
    <row r="35" spans="1:8" x14ac:dyDescent="0.25">
      <c r="A35" t="s">
        <v>19</v>
      </c>
      <c r="B35">
        <v>4</v>
      </c>
      <c r="C35" s="3">
        <f t="shared" si="7"/>
        <v>38.988</v>
      </c>
      <c r="D35" s="8">
        <f t="shared" si="8"/>
        <v>28.987999999999992</v>
      </c>
      <c r="E35" s="2">
        <f t="shared" si="2"/>
        <v>14.443999999999996</v>
      </c>
      <c r="F35" s="3">
        <f t="shared" si="9"/>
        <v>200</v>
      </c>
      <c r="G35" s="2">
        <f t="shared" si="10"/>
        <v>1.25</v>
      </c>
      <c r="H35" s="2">
        <f t="shared" si="11"/>
        <v>13.193999999999996</v>
      </c>
    </row>
    <row r="36" spans="1:8" x14ac:dyDescent="0.25">
      <c r="A36" t="s">
        <v>19</v>
      </c>
      <c r="B36">
        <v>5</v>
      </c>
      <c r="C36" s="3">
        <f t="shared" si="7"/>
        <v>38.988</v>
      </c>
      <c r="D36" s="8">
        <f t="shared" si="8"/>
        <v>28.987999999999992</v>
      </c>
      <c r="E36" s="2">
        <f t="shared" si="2"/>
        <v>14.443999999999996</v>
      </c>
      <c r="F36" s="3">
        <f t="shared" si="9"/>
        <v>200</v>
      </c>
      <c r="G36" s="2">
        <f t="shared" si="10"/>
        <v>1.25</v>
      </c>
      <c r="H36" s="2">
        <f t="shared" si="11"/>
        <v>13.193999999999996</v>
      </c>
    </row>
    <row r="37" spans="1:8" x14ac:dyDescent="0.25">
      <c r="A37" t="s">
        <v>19</v>
      </c>
      <c r="B37">
        <v>6</v>
      </c>
      <c r="C37" s="3">
        <f t="shared" si="7"/>
        <v>38.988</v>
      </c>
      <c r="D37" s="8">
        <f t="shared" si="8"/>
        <v>28.987999999999992</v>
      </c>
      <c r="E37" s="2">
        <f t="shared" si="2"/>
        <v>14.443999999999996</v>
      </c>
      <c r="F37" s="3">
        <f t="shared" si="9"/>
        <v>200</v>
      </c>
      <c r="G37" s="2">
        <f t="shared" si="10"/>
        <v>1.25</v>
      </c>
      <c r="H37" s="2">
        <f t="shared" si="11"/>
        <v>13.193999999999996</v>
      </c>
    </row>
    <row r="38" spans="1:8" x14ac:dyDescent="0.25">
      <c r="A38" t="s">
        <v>19</v>
      </c>
      <c r="B38">
        <v>7</v>
      </c>
      <c r="C38" s="3">
        <f t="shared" si="7"/>
        <v>38.988</v>
      </c>
      <c r="D38" s="8">
        <f t="shared" si="8"/>
        <v>28.987999999999992</v>
      </c>
      <c r="E38" s="2">
        <f t="shared" si="2"/>
        <v>14.443999999999996</v>
      </c>
      <c r="F38" s="3">
        <f t="shared" si="9"/>
        <v>200</v>
      </c>
      <c r="G38" s="2">
        <f t="shared" si="10"/>
        <v>1.25</v>
      </c>
      <c r="H38" s="2">
        <f t="shared" si="11"/>
        <v>13.193999999999996</v>
      </c>
    </row>
    <row r="39" spans="1:8" x14ac:dyDescent="0.25">
      <c r="A39" t="s">
        <v>19</v>
      </c>
      <c r="B39">
        <v>8</v>
      </c>
      <c r="C39" s="3">
        <f t="shared" si="7"/>
        <v>38.988</v>
      </c>
      <c r="D39" s="8">
        <f t="shared" si="8"/>
        <v>28.987999999999992</v>
      </c>
      <c r="E39" s="2">
        <f t="shared" si="2"/>
        <v>14.443999999999996</v>
      </c>
      <c r="F39" s="3">
        <f t="shared" si="9"/>
        <v>200</v>
      </c>
      <c r="G39" s="2">
        <f t="shared" si="10"/>
        <v>1.25</v>
      </c>
      <c r="H39" s="2">
        <f t="shared" si="11"/>
        <v>13.193999999999996</v>
      </c>
    </row>
    <row r="40" spans="1:8" x14ac:dyDescent="0.25">
      <c r="A40" t="s">
        <v>19</v>
      </c>
      <c r="B40">
        <v>9</v>
      </c>
      <c r="C40" s="3">
        <f t="shared" si="7"/>
        <v>38.988</v>
      </c>
      <c r="D40" s="8">
        <f t="shared" si="8"/>
        <v>28.987999999999992</v>
      </c>
      <c r="E40" s="2">
        <f t="shared" si="2"/>
        <v>14.443999999999996</v>
      </c>
      <c r="F40" s="3">
        <f t="shared" si="9"/>
        <v>200</v>
      </c>
      <c r="G40" s="2">
        <f t="shared" si="10"/>
        <v>1.25</v>
      </c>
      <c r="H40" s="2">
        <f t="shared" si="11"/>
        <v>13.193999999999996</v>
      </c>
    </row>
    <row r="41" spans="1:8" x14ac:dyDescent="0.25">
      <c r="A41" t="s">
        <v>19</v>
      </c>
      <c r="B41">
        <v>10</v>
      </c>
      <c r="C41" s="3">
        <f t="shared" si="7"/>
        <v>38.988</v>
      </c>
      <c r="D41" s="8">
        <f t="shared" si="8"/>
        <v>28.987999999999992</v>
      </c>
      <c r="E41" s="2">
        <f t="shared" si="2"/>
        <v>14.443999999999996</v>
      </c>
      <c r="F41" s="3">
        <f t="shared" si="9"/>
        <v>200</v>
      </c>
      <c r="G41" s="2">
        <f t="shared" si="10"/>
        <v>1.25</v>
      </c>
      <c r="H41" s="2">
        <f t="shared" si="11"/>
        <v>13.193999999999996</v>
      </c>
    </row>
    <row r="42" spans="1:8" x14ac:dyDescent="0.25">
      <c r="A42" t="s">
        <v>19</v>
      </c>
      <c r="B42">
        <v>11</v>
      </c>
      <c r="C42" s="3">
        <f t="shared" si="7"/>
        <v>38.988</v>
      </c>
      <c r="D42" s="8">
        <f t="shared" si="8"/>
        <v>28.987999999999992</v>
      </c>
      <c r="E42" s="2">
        <f t="shared" si="2"/>
        <v>14.443999999999996</v>
      </c>
      <c r="F42" s="3">
        <f t="shared" si="9"/>
        <v>200</v>
      </c>
      <c r="G42" s="2">
        <f t="shared" si="10"/>
        <v>1.25</v>
      </c>
      <c r="H42" s="2">
        <f t="shared" si="11"/>
        <v>13.193999999999996</v>
      </c>
    </row>
    <row r="43" spans="1:8" x14ac:dyDescent="0.25">
      <c r="A43" t="s">
        <v>19</v>
      </c>
      <c r="B43">
        <v>12</v>
      </c>
      <c r="C43" s="3">
        <f t="shared" si="7"/>
        <v>38.988</v>
      </c>
      <c r="D43" s="8">
        <f t="shared" si="8"/>
        <v>28.987999999999992</v>
      </c>
      <c r="E43" s="2">
        <f t="shared" si="2"/>
        <v>14.443999999999996</v>
      </c>
      <c r="F43" s="3">
        <f t="shared" si="9"/>
        <v>200</v>
      </c>
      <c r="G43" s="2">
        <f t="shared" si="10"/>
        <v>1.25</v>
      </c>
      <c r="H43" s="2">
        <f t="shared" si="11"/>
        <v>13.193999999999996</v>
      </c>
    </row>
    <row r="44" spans="1:8" x14ac:dyDescent="0.25">
      <c r="A44" t="s">
        <v>19</v>
      </c>
      <c r="B44">
        <v>13</v>
      </c>
      <c r="C44" s="3">
        <f t="shared" si="7"/>
        <v>38.988</v>
      </c>
      <c r="D44" s="8">
        <f t="shared" si="8"/>
        <v>28.987999999999992</v>
      </c>
      <c r="E44" s="2">
        <f t="shared" si="2"/>
        <v>14.443999999999996</v>
      </c>
      <c r="F44" s="3">
        <f t="shared" si="9"/>
        <v>200</v>
      </c>
      <c r="G44" s="2">
        <f t="shared" si="10"/>
        <v>1.25</v>
      </c>
      <c r="H44" s="2">
        <f t="shared" si="11"/>
        <v>13.193999999999996</v>
      </c>
    </row>
    <row r="45" spans="1:8" x14ac:dyDescent="0.25">
      <c r="A45" t="s">
        <v>19</v>
      </c>
      <c r="B45">
        <v>14</v>
      </c>
      <c r="C45" s="3">
        <f t="shared" si="7"/>
        <v>38.988</v>
      </c>
      <c r="D45" s="8">
        <f t="shared" si="8"/>
        <v>28.987999999999992</v>
      </c>
      <c r="E45" s="2">
        <f t="shared" si="2"/>
        <v>14.443999999999996</v>
      </c>
      <c r="F45" s="3">
        <f t="shared" si="9"/>
        <v>200</v>
      </c>
      <c r="G45" s="2">
        <f t="shared" si="10"/>
        <v>1.25</v>
      </c>
      <c r="H45" s="2">
        <f t="shared" si="11"/>
        <v>13.193999999999996</v>
      </c>
    </row>
    <row r="46" spans="1:8" x14ac:dyDescent="0.25">
      <c r="A46" t="s">
        <v>19</v>
      </c>
      <c r="B46">
        <v>15</v>
      </c>
      <c r="C46" s="3">
        <f t="shared" si="7"/>
        <v>38.988</v>
      </c>
      <c r="D46" s="8">
        <f t="shared" si="8"/>
        <v>28.987999999999992</v>
      </c>
      <c r="E46" s="2">
        <f t="shared" si="2"/>
        <v>14.443999999999996</v>
      </c>
      <c r="F46" s="3">
        <f t="shared" si="9"/>
        <v>200</v>
      </c>
      <c r="G46" s="2">
        <f t="shared" si="10"/>
        <v>1.25</v>
      </c>
      <c r="H46" s="2">
        <f t="shared" si="11"/>
        <v>13.193999999999996</v>
      </c>
    </row>
    <row r="47" spans="1:8" x14ac:dyDescent="0.25">
      <c r="A47" t="s">
        <v>19</v>
      </c>
      <c r="B47">
        <v>16</v>
      </c>
      <c r="C47" s="3">
        <f t="shared" si="7"/>
        <v>38.988</v>
      </c>
      <c r="D47" s="8">
        <f t="shared" si="8"/>
        <v>28.987999999999992</v>
      </c>
      <c r="E47" s="2">
        <f t="shared" si="2"/>
        <v>14.443999999999996</v>
      </c>
      <c r="F47" s="3">
        <f t="shared" si="9"/>
        <v>200</v>
      </c>
      <c r="G47" s="2">
        <f t="shared" si="10"/>
        <v>1.25</v>
      </c>
      <c r="H47" s="2">
        <f t="shared" si="11"/>
        <v>13.193999999999996</v>
      </c>
    </row>
    <row r="48" spans="1:8" x14ac:dyDescent="0.25">
      <c r="A48" t="s">
        <v>19</v>
      </c>
      <c r="B48">
        <v>17</v>
      </c>
      <c r="C48" s="3">
        <f t="shared" si="7"/>
        <v>38.988</v>
      </c>
      <c r="D48" s="8">
        <f t="shared" si="8"/>
        <v>28.987999999999992</v>
      </c>
      <c r="E48" s="2">
        <f t="shared" si="2"/>
        <v>14.443999999999996</v>
      </c>
      <c r="F48" s="3">
        <f t="shared" si="9"/>
        <v>200</v>
      </c>
      <c r="G48" s="2">
        <f t="shared" si="10"/>
        <v>1.25</v>
      </c>
      <c r="H48" s="2">
        <f t="shared" si="11"/>
        <v>13.193999999999996</v>
      </c>
    </row>
    <row r="49" spans="1:8" x14ac:dyDescent="0.25">
      <c r="A49" t="s">
        <v>19</v>
      </c>
      <c r="B49">
        <v>18</v>
      </c>
      <c r="C49" s="3">
        <f t="shared" si="7"/>
        <v>38.988</v>
      </c>
      <c r="D49" s="8">
        <f t="shared" si="8"/>
        <v>28.987999999999992</v>
      </c>
      <c r="E49" s="2">
        <f t="shared" si="2"/>
        <v>14.443999999999996</v>
      </c>
      <c r="F49" s="3">
        <f t="shared" si="9"/>
        <v>200</v>
      </c>
      <c r="G49" s="2">
        <f t="shared" si="10"/>
        <v>1.25</v>
      </c>
      <c r="H49" s="2">
        <f t="shared" si="11"/>
        <v>13.193999999999996</v>
      </c>
    </row>
    <row r="50" spans="1:8" x14ac:dyDescent="0.25">
      <c r="A50" t="s">
        <v>19</v>
      </c>
      <c r="B50">
        <v>19</v>
      </c>
      <c r="C50" s="3">
        <f t="shared" si="7"/>
        <v>38.988</v>
      </c>
      <c r="D50" s="8">
        <f t="shared" si="8"/>
        <v>28.987999999999992</v>
      </c>
      <c r="E50" s="2">
        <f t="shared" si="2"/>
        <v>14.443999999999996</v>
      </c>
      <c r="F50" s="3">
        <f t="shared" si="9"/>
        <v>200</v>
      </c>
      <c r="G50" s="2">
        <f t="shared" si="10"/>
        <v>1.25</v>
      </c>
      <c r="H50" s="2">
        <f t="shared" si="11"/>
        <v>13.193999999999996</v>
      </c>
    </row>
    <row r="51" spans="1:8" x14ac:dyDescent="0.25">
      <c r="A51" t="s">
        <v>19</v>
      </c>
      <c r="B51">
        <v>20</v>
      </c>
      <c r="C51" s="3">
        <f t="shared" si="7"/>
        <v>38.988</v>
      </c>
      <c r="D51" s="8">
        <f t="shared" si="8"/>
        <v>28.987999999999992</v>
      </c>
      <c r="E51" s="2">
        <f t="shared" si="2"/>
        <v>14.443999999999996</v>
      </c>
      <c r="F51" s="3">
        <f t="shared" si="9"/>
        <v>200</v>
      </c>
      <c r="G51" s="2">
        <f t="shared" si="10"/>
        <v>1.25</v>
      </c>
      <c r="H51" s="2">
        <f t="shared" si="11"/>
        <v>13.193999999999996</v>
      </c>
    </row>
    <row r="52" spans="1:8" x14ac:dyDescent="0.25">
      <c r="A52" t="s">
        <v>19</v>
      </c>
      <c r="B52">
        <v>21</v>
      </c>
      <c r="C52" s="3">
        <f t="shared" si="7"/>
        <v>38.988</v>
      </c>
      <c r="D52" s="8">
        <f t="shared" si="8"/>
        <v>28.987999999999992</v>
      </c>
      <c r="E52" s="2">
        <f t="shared" si="2"/>
        <v>14.443999999999996</v>
      </c>
      <c r="F52" s="3">
        <f t="shared" si="9"/>
        <v>200</v>
      </c>
      <c r="G52" s="2">
        <f t="shared" si="10"/>
        <v>1.25</v>
      </c>
      <c r="H52" s="2">
        <f t="shared" si="11"/>
        <v>13.193999999999996</v>
      </c>
    </row>
    <row r="53" spans="1:8" x14ac:dyDescent="0.25">
      <c r="A53" t="s">
        <v>19</v>
      </c>
      <c r="B53">
        <v>22</v>
      </c>
      <c r="C53" s="3">
        <f t="shared" si="7"/>
        <v>38.988</v>
      </c>
      <c r="D53" s="8">
        <f t="shared" si="8"/>
        <v>28.987999999999992</v>
      </c>
      <c r="E53" s="2">
        <f t="shared" si="2"/>
        <v>14.443999999999996</v>
      </c>
      <c r="F53" s="3">
        <f t="shared" si="9"/>
        <v>200</v>
      </c>
      <c r="G53" s="2">
        <f t="shared" si="10"/>
        <v>1.25</v>
      </c>
      <c r="H53" s="2">
        <f t="shared" si="11"/>
        <v>13.193999999999996</v>
      </c>
    </row>
    <row r="54" spans="1:8" x14ac:dyDescent="0.25">
      <c r="A54" t="s">
        <v>19</v>
      </c>
      <c r="B54">
        <v>23</v>
      </c>
      <c r="C54" s="3">
        <f t="shared" si="7"/>
        <v>38.988</v>
      </c>
      <c r="D54" s="8">
        <f t="shared" si="8"/>
        <v>28.987999999999992</v>
      </c>
      <c r="E54" s="2">
        <f t="shared" si="2"/>
        <v>14.443999999999996</v>
      </c>
      <c r="F54" s="3">
        <f t="shared" si="9"/>
        <v>200</v>
      </c>
      <c r="G54" s="2">
        <f t="shared" si="10"/>
        <v>1.25</v>
      </c>
      <c r="H54" s="2">
        <f t="shared" si="11"/>
        <v>13.193999999999996</v>
      </c>
    </row>
    <row r="55" spans="1:8" x14ac:dyDescent="0.25">
      <c r="A55" t="s">
        <v>19</v>
      </c>
      <c r="B55">
        <v>24</v>
      </c>
      <c r="C55" s="3">
        <f t="shared" si="7"/>
        <v>38.988</v>
      </c>
      <c r="D55" s="8">
        <f t="shared" si="8"/>
        <v>28.987999999999992</v>
      </c>
      <c r="E55" s="2">
        <f t="shared" si="2"/>
        <v>14.443999999999996</v>
      </c>
      <c r="F55" s="3">
        <f t="shared" si="9"/>
        <v>200</v>
      </c>
      <c r="G55" s="2">
        <f t="shared" si="10"/>
        <v>1.25</v>
      </c>
      <c r="H55" s="2">
        <f t="shared" si="11"/>
        <v>13.193999999999996</v>
      </c>
    </row>
    <row r="56" spans="1:8" x14ac:dyDescent="0.25">
      <c r="A56" t="s">
        <v>19</v>
      </c>
      <c r="B56">
        <v>25</v>
      </c>
      <c r="C56" s="3">
        <f t="shared" si="7"/>
        <v>38.988</v>
      </c>
      <c r="D56" s="8">
        <f t="shared" si="8"/>
        <v>28.987999999999992</v>
      </c>
      <c r="E56" s="2">
        <f t="shared" si="2"/>
        <v>14.443999999999996</v>
      </c>
      <c r="F56" s="3">
        <f t="shared" si="9"/>
        <v>200</v>
      </c>
      <c r="G56" s="2">
        <f t="shared" si="10"/>
        <v>1.25</v>
      </c>
      <c r="H56" s="2">
        <f t="shared" si="11"/>
        <v>13.193999999999996</v>
      </c>
    </row>
    <row r="57" spans="1:8" x14ac:dyDescent="0.25">
      <c r="A57" t="s">
        <v>19</v>
      </c>
      <c r="B57">
        <v>26</v>
      </c>
      <c r="C57" s="3">
        <f t="shared" si="7"/>
        <v>38.988</v>
      </c>
      <c r="D57" s="8">
        <f t="shared" si="8"/>
        <v>28.987999999999992</v>
      </c>
      <c r="E57" s="2">
        <f t="shared" si="2"/>
        <v>14.443999999999996</v>
      </c>
      <c r="F57" s="3">
        <f t="shared" si="9"/>
        <v>200</v>
      </c>
      <c r="G57" s="2">
        <f t="shared" si="10"/>
        <v>1.25</v>
      </c>
      <c r="H57" s="2">
        <f t="shared" si="11"/>
        <v>13.193999999999996</v>
      </c>
    </row>
    <row r="58" spans="1:8" x14ac:dyDescent="0.25">
      <c r="A58" t="s">
        <v>19</v>
      </c>
      <c r="B58">
        <v>27</v>
      </c>
      <c r="C58" s="3">
        <f t="shared" si="7"/>
        <v>38.988</v>
      </c>
      <c r="D58" s="8">
        <f t="shared" si="8"/>
        <v>28.987999999999992</v>
      </c>
      <c r="E58" s="2">
        <f t="shared" si="2"/>
        <v>14.443999999999996</v>
      </c>
      <c r="F58" s="3">
        <f t="shared" si="9"/>
        <v>200</v>
      </c>
      <c r="G58" s="2">
        <f t="shared" si="10"/>
        <v>1.25</v>
      </c>
      <c r="H58" s="2">
        <f t="shared" si="11"/>
        <v>13.193999999999996</v>
      </c>
    </row>
    <row r="59" spans="1:8" x14ac:dyDescent="0.25">
      <c r="A59" t="s">
        <v>19</v>
      </c>
      <c r="B59">
        <v>28</v>
      </c>
      <c r="C59" s="3">
        <f t="shared" si="7"/>
        <v>38.988</v>
      </c>
      <c r="D59" s="8">
        <f t="shared" si="8"/>
        <v>28.987999999999992</v>
      </c>
      <c r="E59" s="2">
        <f t="shared" si="2"/>
        <v>14.443999999999996</v>
      </c>
      <c r="F59" s="3">
        <f t="shared" si="9"/>
        <v>200</v>
      </c>
      <c r="G59" s="2">
        <f t="shared" si="10"/>
        <v>1.25</v>
      </c>
      <c r="H59" s="2">
        <f t="shared" si="11"/>
        <v>13.193999999999996</v>
      </c>
    </row>
    <row r="60" spans="1:8" x14ac:dyDescent="0.25">
      <c r="A60" t="s">
        <v>19</v>
      </c>
      <c r="B60">
        <v>29</v>
      </c>
      <c r="C60" s="3">
        <f t="shared" si="7"/>
        <v>38.988</v>
      </c>
      <c r="D60" s="8">
        <f t="shared" si="8"/>
        <v>28.987999999999992</v>
      </c>
      <c r="E60" s="2">
        <f t="shared" si="2"/>
        <v>14.443999999999996</v>
      </c>
      <c r="F60" s="3">
        <f t="shared" si="9"/>
        <v>200</v>
      </c>
      <c r="G60" s="2">
        <f t="shared" si="10"/>
        <v>1.25</v>
      </c>
      <c r="H60" s="2">
        <f t="shared" si="11"/>
        <v>13.193999999999996</v>
      </c>
    </row>
    <row r="61" spans="1:8" x14ac:dyDescent="0.25">
      <c r="A61" t="s">
        <v>19</v>
      </c>
      <c r="B61">
        <v>30</v>
      </c>
      <c r="C61" s="3">
        <f t="shared" si="7"/>
        <v>38.988</v>
      </c>
      <c r="D61" s="8">
        <f t="shared" si="8"/>
        <v>28.987999999999992</v>
      </c>
      <c r="E61" s="2">
        <f t="shared" si="2"/>
        <v>14.443999999999996</v>
      </c>
      <c r="F61" s="3">
        <f t="shared" si="9"/>
        <v>200</v>
      </c>
      <c r="G61" s="2">
        <f t="shared" si="10"/>
        <v>1.25</v>
      </c>
      <c r="H61" s="2">
        <f t="shared" si="11"/>
        <v>13.193999999999996</v>
      </c>
    </row>
    <row r="62" spans="1:8" x14ac:dyDescent="0.25">
      <c r="A62" t="s">
        <v>19</v>
      </c>
      <c r="B62">
        <v>31</v>
      </c>
      <c r="C62" s="3">
        <f t="shared" si="7"/>
        <v>38.988</v>
      </c>
      <c r="D62" s="8">
        <f t="shared" si="8"/>
        <v>28.987999999999992</v>
      </c>
      <c r="E62" s="2">
        <f t="shared" si="2"/>
        <v>14.443999999999996</v>
      </c>
      <c r="F62" s="3">
        <f t="shared" si="9"/>
        <v>200</v>
      </c>
      <c r="G62" s="2">
        <f t="shared" si="10"/>
        <v>1.25</v>
      </c>
      <c r="H62" s="2">
        <f t="shared" si="11"/>
        <v>13.193999999999996</v>
      </c>
    </row>
    <row r="63" spans="1:8" x14ac:dyDescent="0.25">
      <c r="A63" t="s">
        <v>20</v>
      </c>
      <c r="B63">
        <v>1</v>
      </c>
      <c r="C63" s="3">
        <f t="shared" ref="C63:C92" si="12">JunSunHours*SolarMaxGenCap*SolarEfficiency</f>
        <v>48.563999999999993</v>
      </c>
      <c r="D63" s="8">
        <f t="shared" ref="D63:D92" si="13">(JunSunHours*(SolarMaxGenCap*SolarEfficiency))-JunPowerUse</f>
        <v>38.563999999999993</v>
      </c>
      <c r="E63" s="2">
        <f t="shared" si="2"/>
        <v>19.231999999999996</v>
      </c>
      <c r="F63" s="3">
        <f t="shared" ref="F63:F92" si="14">IF((F62*(1-JunDailyLossPct)-JunDailyLossAbs)+E63&gt;MaxPowerStore,MaxPowerStore,(IF(F62+E63&gt;0.1,(F62*(1-JunDailyLossPct)-JunDailyLossAbs)+ (IF(D63&lt;0,D63,E63)),0)))</f>
        <v>200</v>
      </c>
      <c r="G63" s="2">
        <f t="shared" ref="G63:G92" si="15">IF(F63&gt;0,JunDailyLossAbs+(F62*JunDailyLossPct),0)</f>
        <v>1.25</v>
      </c>
      <c r="H63" s="2">
        <f t="shared" si="6"/>
        <v>17.981999999999996</v>
      </c>
    </row>
    <row r="64" spans="1:8" x14ac:dyDescent="0.25">
      <c r="A64" t="s">
        <v>20</v>
      </c>
      <c r="B64">
        <v>2</v>
      </c>
      <c r="C64" s="3">
        <f t="shared" si="12"/>
        <v>48.563999999999993</v>
      </c>
      <c r="D64" s="8">
        <f t="shared" si="13"/>
        <v>38.563999999999993</v>
      </c>
      <c r="E64" s="2">
        <f t="shared" si="2"/>
        <v>19.231999999999996</v>
      </c>
      <c r="F64" s="3">
        <f t="shared" si="14"/>
        <v>200</v>
      </c>
      <c r="G64" s="2">
        <f t="shared" si="15"/>
        <v>1.25</v>
      </c>
      <c r="H64" s="2">
        <f t="shared" ref="H64:H92" si="16">IF(E64&gt;0,E64-G64-(F64-F63),0)</f>
        <v>17.981999999999996</v>
      </c>
    </row>
    <row r="65" spans="1:8" x14ac:dyDescent="0.25">
      <c r="A65" t="s">
        <v>20</v>
      </c>
      <c r="B65">
        <v>3</v>
      </c>
      <c r="C65" s="3">
        <f t="shared" si="12"/>
        <v>48.563999999999993</v>
      </c>
      <c r="D65" s="8">
        <f t="shared" si="13"/>
        <v>38.563999999999993</v>
      </c>
      <c r="E65" s="2">
        <f t="shared" si="2"/>
        <v>19.231999999999996</v>
      </c>
      <c r="F65" s="3">
        <f t="shared" si="14"/>
        <v>200</v>
      </c>
      <c r="G65" s="2">
        <f t="shared" si="15"/>
        <v>1.25</v>
      </c>
      <c r="H65" s="2">
        <f t="shared" si="16"/>
        <v>17.981999999999996</v>
      </c>
    </row>
    <row r="66" spans="1:8" x14ac:dyDescent="0.25">
      <c r="A66" t="s">
        <v>20</v>
      </c>
      <c r="B66">
        <v>4</v>
      </c>
      <c r="C66" s="3">
        <f t="shared" si="12"/>
        <v>48.563999999999993</v>
      </c>
      <c r="D66" s="8">
        <f t="shared" si="13"/>
        <v>38.563999999999993</v>
      </c>
      <c r="E66" s="2">
        <f t="shared" ref="E66:E129" si="17">IF(D66&gt;MinWastedPower,(D66-MinWastedPower)*RoundtripEfficiency,0)</f>
        <v>19.231999999999996</v>
      </c>
      <c r="F66" s="3">
        <f t="shared" si="14"/>
        <v>200</v>
      </c>
      <c r="G66" s="2">
        <f t="shared" si="15"/>
        <v>1.25</v>
      </c>
      <c r="H66" s="2">
        <f t="shared" si="16"/>
        <v>17.981999999999996</v>
      </c>
    </row>
    <row r="67" spans="1:8" x14ac:dyDescent="0.25">
      <c r="A67" t="s">
        <v>20</v>
      </c>
      <c r="B67">
        <v>5</v>
      </c>
      <c r="C67" s="3">
        <f t="shared" si="12"/>
        <v>48.563999999999993</v>
      </c>
      <c r="D67" s="8">
        <f t="shared" si="13"/>
        <v>38.563999999999993</v>
      </c>
      <c r="E67" s="2">
        <f t="shared" si="17"/>
        <v>19.231999999999996</v>
      </c>
      <c r="F67" s="3">
        <f t="shared" si="14"/>
        <v>200</v>
      </c>
      <c r="G67" s="2">
        <f t="shared" si="15"/>
        <v>1.25</v>
      </c>
      <c r="H67" s="2">
        <f t="shared" si="16"/>
        <v>17.981999999999996</v>
      </c>
    </row>
    <row r="68" spans="1:8" x14ac:dyDescent="0.25">
      <c r="A68" t="s">
        <v>20</v>
      </c>
      <c r="B68">
        <v>6</v>
      </c>
      <c r="C68" s="3">
        <f t="shared" si="12"/>
        <v>48.563999999999993</v>
      </c>
      <c r="D68" s="8">
        <f t="shared" si="13"/>
        <v>38.563999999999993</v>
      </c>
      <c r="E68" s="2">
        <f t="shared" si="17"/>
        <v>19.231999999999996</v>
      </c>
      <c r="F68" s="3">
        <f t="shared" si="14"/>
        <v>200</v>
      </c>
      <c r="G68" s="2">
        <f t="shared" si="15"/>
        <v>1.25</v>
      </c>
      <c r="H68" s="2">
        <f t="shared" si="16"/>
        <v>17.981999999999996</v>
      </c>
    </row>
    <row r="69" spans="1:8" x14ac:dyDescent="0.25">
      <c r="A69" t="s">
        <v>20</v>
      </c>
      <c r="B69">
        <v>7</v>
      </c>
      <c r="C69" s="3">
        <f t="shared" si="12"/>
        <v>48.563999999999993</v>
      </c>
      <c r="D69" s="8">
        <f t="shared" si="13"/>
        <v>38.563999999999993</v>
      </c>
      <c r="E69" s="2">
        <f t="shared" si="17"/>
        <v>19.231999999999996</v>
      </c>
      <c r="F69" s="3">
        <f t="shared" si="14"/>
        <v>200</v>
      </c>
      <c r="G69" s="2">
        <f t="shared" si="15"/>
        <v>1.25</v>
      </c>
      <c r="H69" s="2">
        <f t="shared" si="16"/>
        <v>17.981999999999996</v>
      </c>
    </row>
    <row r="70" spans="1:8" x14ac:dyDescent="0.25">
      <c r="A70" t="s">
        <v>20</v>
      </c>
      <c r="B70">
        <v>8</v>
      </c>
      <c r="C70" s="3">
        <f t="shared" si="12"/>
        <v>48.563999999999993</v>
      </c>
      <c r="D70" s="8">
        <f t="shared" si="13"/>
        <v>38.563999999999993</v>
      </c>
      <c r="E70" s="2">
        <f t="shared" si="17"/>
        <v>19.231999999999996</v>
      </c>
      <c r="F70" s="3">
        <f t="shared" si="14"/>
        <v>200</v>
      </c>
      <c r="G70" s="2">
        <f t="shared" si="15"/>
        <v>1.25</v>
      </c>
      <c r="H70" s="2">
        <f t="shared" si="16"/>
        <v>17.981999999999996</v>
      </c>
    </row>
    <row r="71" spans="1:8" x14ac:dyDescent="0.25">
      <c r="A71" t="s">
        <v>20</v>
      </c>
      <c r="B71">
        <v>9</v>
      </c>
      <c r="C71" s="3">
        <f t="shared" si="12"/>
        <v>48.563999999999993</v>
      </c>
      <c r="D71" s="8">
        <f t="shared" si="13"/>
        <v>38.563999999999993</v>
      </c>
      <c r="E71" s="2">
        <f t="shared" si="17"/>
        <v>19.231999999999996</v>
      </c>
      <c r="F71" s="3">
        <f t="shared" si="14"/>
        <v>200</v>
      </c>
      <c r="G71" s="2">
        <f t="shared" si="15"/>
        <v>1.25</v>
      </c>
      <c r="H71" s="2">
        <f t="shared" si="16"/>
        <v>17.981999999999996</v>
      </c>
    </row>
    <row r="72" spans="1:8" x14ac:dyDescent="0.25">
      <c r="A72" t="s">
        <v>20</v>
      </c>
      <c r="B72">
        <v>10</v>
      </c>
      <c r="C72" s="3">
        <f t="shared" si="12"/>
        <v>48.563999999999993</v>
      </c>
      <c r="D72" s="8">
        <f t="shared" si="13"/>
        <v>38.563999999999993</v>
      </c>
      <c r="E72" s="2">
        <f t="shared" si="17"/>
        <v>19.231999999999996</v>
      </c>
      <c r="F72" s="3">
        <f t="shared" si="14"/>
        <v>200</v>
      </c>
      <c r="G72" s="2">
        <f t="shared" si="15"/>
        <v>1.25</v>
      </c>
      <c r="H72" s="2">
        <f t="shared" si="16"/>
        <v>17.981999999999996</v>
      </c>
    </row>
    <row r="73" spans="1:8" x14ac:dyDescent="0.25">
      <c r="A73" t="s">
        <v>20</v>
      </c>
      <c r="B73">
        <v>11</v>
      </c>
      <c r="C73" s="3">
        <f t="shared" si="12"/>
        <v>48.563999999999993</v>
      </c>
      <c r="D73" s="8">
        <f t="shared" si="13"/>
        <v>38.563999999999993</v>
      </c>
      <c r="E73" s="2">
        <f t="shared" si="17"/>
        <v>19.231999999999996</v>
      </c>
      <c r="F73" s="3">
        <f t="shared" si="14"/>
        <v>200</v>
      </c>
      <c r="G73" s="2">
        <f t="shared" si="15"/>
        <v>1.25</v>
      </c>
      <c r="H73" s="2">
        <f t="shared" si="16"/>
        <v>17.981999999999996</v>
      </c>
    </row>
    <row r="74" spans="1:8" x14ac:dyDescent="0.25">
      <c r="A74" t="s">
        <v>20</v>
      </c>
      <c r="B74">
        <v>12</v>
      </c>
      <c r="C74" s="3">
        <f t="shared" si="12"/>
        <v>48.563999999999993</v>
      </c>
      <c r="D74" s="8">
        <f t="shared" si="13"/>
        <v>38.563999999999993</v>
      </c>
      <c r="E74" s="2">
        <f t="shared" si="17"/>
        <v>19.231999999999996</v>
      </c>
      <c r="F74" s="3">
        <f t="shared" si="14"/>
        <v>200</v>
      </c>
      <c r="G74" s="2">
        <f t="shared" si="15"/>
        <v>1.25</v>
      </c>
      <c r="H74" s="2">
        <f t="shared" si="16"/>
        <v>17.981999999999996</v>
      </c>
    </row>
    <row r="75" spans="1:8" x14ac:dyDescent="0.25">
      <c r="A75" t="s">
        <v>20</v>
      </c>
      <c r="B75">
        <v>13</v>
      </c>
      <c r="C75" s="3">
        <f t="shared" si="12"/>
        <v>48.563999999999993</v>
      </c>
      <c r="D75" s="8">
        <f t="shared" si="13"/>
        <v>38.563999999999993</v>
      </c>
      <c r="E75" s="2">
        <f t="shared" si="17"/>
        <v>19.231999999999996</v>
      </c>
      <c r="F75" s="3">
        <f t="shared" si="14"/>
        <v>200</v>
      </c>
      <c r="G75" s="2">
        <f t="shared" si="15"/>
        <v>1.25</v>
      </c>
      <c r="H75" s="2">
        <f t="shared" si="16"/>
        <v>17.981999999999996</v>
      </c>
    </row>
    <row r="76" spans="1:8" x14ac:dyDescent="0.25">
      <c r="A76" t="s">
        <v>20</v>
      </c>
      <c r="B76">
        <v>14</v>
      </c>
      <c r="C76" s="3">
        <f t="shared" si="12"/>
        <v>48.563999999999993</v>
      </c>
      <c r="D76" s="8">
        <f t="shared" si="13"/>
        <v>38.563999999999993</v>
      </c>
      <c r="E76" s="2">
        <f t="shared" si="17"/>
        <v>19.231999999999996</v>
      </c>
      <c r="F76" s="3">
        <f t="shared" si="14"/>
        <v>200</v>
      </c>
      <c r="G76" s="2">
        <f t="shared" si="15"/>
        <v>1.25</v>
      </c>
      <c r="H76" s="2">
        <f t="shared" si="16"/>
        <v>17.981999999999996</v>
      </c>
    </row>
    <row r="77" spans="1:8" x14ac:dyDescent="0.25">
      <c r="A77" t="s">
        <v>20</v>
      </c>
      <c r="B77">
        <v>15</v>
      </c>
      <c r="C77" s="3">
        <f t="shared" si="12"/>
        <v>48.563999999999993</v>
      </c>
      <c r="D77" s="8">
        <f t="shared" si="13"/>
        <v>38.563999999999993</v>
      </c>
      <c r="E77" s="2">
        <f t="shared" si="17"/>
        <v>19.231999999999996</v>
      </c>
      <c r="F77" s="3">
        <f t="shared" si="14"/>
        <v>200</v>
      </c>
      <c r="G77" s="2">
        <f t="shared" si="15"/>
        <v>1.25</v>
      </c>
      <c r="H77" s="2">
        <f t="shared" si="16"/>
        <v>17.981999999999996</v>
      </c>
    </row>
    <row r="78" spans="1:8" x14ac:dyDescent="0.25">
      <c r="A78" t="s">
        <v>20</v>
      </c>
      <c r="B78">
        <v>16</v>
      </c>
      <c r="C78" s="3">
        <f t="shared" si="12"/>
        <v>48.563999999999993</v>
      </c>
      <c r="D78" s="8">
        <f t="shared" si="13"/>
        <v>38.563999999999993</v>
      </c>
      <c r="E78" s="2">
        <f t="shared" si="17"/>
        <v>19.231999999999996</v>
      </c>
      <c r="F78" s="3">
        <f t="shared" si="14"/>
        <v>200</v>
      </c>
      <c r="G78" s="2">
        <f t="shared" si="15"/>
        <v>1.25</v>
      </c>
      <c r="H78" s="2">
        <f t="shared" si="16"/>
        <v>17.981999999999996</v>
      </c>
    </row>
    <row r="79" spans="1:8" x14ac:dyDescent="0.25">
      <c r="A79" t="s">
        <v>20</v>
      </c>
      <c r="B79">
        <v>17</v>
      </c>
      <c r="C79" s="3">
        <f t="shared" si="12"/>
        <v>48.563999999999993</v>
      </c>
      <c r="D79" s="8">
        <f t="shared" si="13"/>
        <v>38.563999999999993</v>
      </c>
      <c r="E79" s="2">
        <f t="shared" si="17"/>
        <v>19.231999999999996</v>
      </c>
      <c r="F79" s="3">
        <f t="shared" si="14"/>
        <v>200</v>
      </c>
      <c r="G79" s="2">
        <f t="shared" si="15"/>
        <v>1.25</v>
      </c>
      <c r="H79" s="2">
        <f t="shared" si="16"/>
        <v>17.981999999999996</v>
      </c>
    </row>
    <row r="80" spans="1:8" x14ac:dyDescent="0.25">
      <c r="A80" t="s">
        <v>20</v>
      </c>
      <c r="B80">
        <v>18</v>
      </c>
      <c r="C80" s="3">
        <f t="shared" si="12"/>
        <v>48.563999999999993</v>
      </c>
      <c r="D80" s="8">
        <f t="shared" si="13"/>
        <v>38.563999999999993</v>
      </c>
      <c r="E80" s="2">
        <f t="shared" si="17"/>
        <v>19.231999999999996</v>
      </c>
      <c r="F80" s="3">
        <f t="shared" si="14"/>
        <v>200</v>
      </c>
      <c r="G80" s="2">
        <f t="shared" si="15"/>
        <v>1.25</v>
      </c>
      <c r="H80" s="2">
        <f t="shared" si="16"/>
        <v>17.981999999999996</v>
      </c>
    </row>
    <row r="81" spans="1:8" x14ac:dyDescent="0.25">
      <c r="A81" t="s">
        <v>20</v>
      </c>
      <c r="B81">
        <v>19</v>
      </c>
      <c r="C81" s="3">
        <f t="shared" si="12"/>
        <v>48.563999999999993</v>
      </c>
      <c r="D81" s="8">
        <f t="shared" si="13"/>
        <v>38.563999999999993</v>
      </c>
      <c r="E81" s="2">
        <f t="shared" si="17"/>
        <v>19.231999999999996</v>
      </c>
      <c r="F81" s="3">
        <f t="shared" si="14"/>
        <v>200</v>
      </c>
      <c r="G81" s="2">
        <f t="shared" si="15"/>
        <v>1.25</v>
      </c>
      <c r="H81" s="2">
        <f t="shared" si="16"/>
        <v>17.981999999999996</v>
      </c>
    </row>
    <row r="82" spans="1:8" x14ac:dyDescent="0.25">
      <c r="A82" t="s">
        <v>20</v>
      </c>
      <c r="B82">
        <v>20</v>
      </c>
      <c r="C82" s="3">
        <f t="shared" si="12"/>
        <v>48.563999999999993</v>
      </c>
      <c r="D82" s="8">
        <f t="shared" si="13"/>
        <v>38.563999999999993</v>
      </c>
      <c r="E82" s="2">
        <f t="shared" si="17"/>
        <v>19.231999999999996</v>
      </c>
      <c r="F82" s="3">
        <f t="shared" si="14"/>
        <v>200</v>
      </c>
      <c r="G82" s="2">
        <f t="shared" si="15"/>
        <v>1.25</v>
      </c>
      <c r="H82" s="2">
        <f t="shared" si="16"/>
        <v>17.981999999999996</v>
      </c>
    </row>
    <row r="83" spans="1:8" x14ac:dyDescent="0.25">
      <c r="A83" t="s">
        <v>20</v>
      </c>
      <c r="B83">
        <v>21</v>
      </c>
      <c r="C83" s="3">
        <f t="shared" si="12"/>
        <v>48.563999999999993</v>
      </c>
      <c r="D83" s="8">
        <f t="shared" si="13"/>
        <v>38.563999999999993</v>
      </c>
      <c r="E83" s="2">
        <f t="shared" si="17"/>
        <v>19.231999999999996</v>
      </c>
      <c r="F83" s="3">
        <f t="shared" si="14"/>
        <v>200</v>
      </c>
      <c r="G83" s="2">
        <f t="shared" si="15"/>
        <v>1.25</v>
      </c>
      <c r="H83" s="2">
        <f t="shared" si="16"/>
        <v>17.981999999999996</v>
      </c>
    </row>
    <row r="84" spans="1:8" x14ac:dyDescent="0.25">
      <c r="A84" t="s">
        <v>20</v>
      </c>
      <c r="B84">
        <v>22</v>
      </c>
      <c r="C84" s="3">
        <f t="shared" si="12"/>
        <v>48.563999999999993</v>
      </c>
      <c r="D84" s="8">
        <f t="shared" si="13"/>
        <v>38.563999999999993</v>
      </c>
      <c r="E84" s="2">
        <f t="shared" si="17"/>
        <v>19.231999999999996</v>
      </c>
      <c r="F84" s="3">
        <f t="shared" si="14"/>
        <v>200</v>
      </c>
      <c r="G84" s="2">
        <f t="shared" si="15"/>
        <v>1.25</v>
      </c>
      <c r="H84" s="2">
        <f t="shared" si="16"/>
        <v>17.981999999999996</v>
      </c>
    </row>
    <row r="85" spans="1:8" x14ac:dyDescent="0.25">
      <c r="A85" t="s">
        <v>20</v>
      </c>
      <c r="B85">
        <v>23</v>
      </c>
      <c r="C85" s="3">
        <f t="shared" si="12"/>
        <v>48.563999999999993</v>
      </c>
      <c r="D85" s="8">
        <f t="shared" si="13"/>
        <v>38.563999999999993</v>
      </c>
      <c r="E85" s="2">
        <f t="shared" si="17"/>
        <v>19.231999999999996</v>
      </c>
      <c r="F85" s="3">
        <f t="shared" si="14"/>
        <v>200</v>
      </c>
      <c r="G85" s="2">
        <f t="shared" si="15"/>
        <v>1.25</v>
      </c>
      <c r="H85" s="2">
        <f t="shared" si="16"/>
        <v>17.981999999999996</v>
      </c>
    </row>
    <row r="86" spans="1:8" x14ac:dyDescent="0.25">
      <c r="A86" t="s">
        <v>20</v>
      </c>
      <c r="B86">
        <v>24</v>
      </c>
      <c r="C86" s="3">
        <f t="shared" si="12"/>
        <v>48.563999999999993</v>
      </c>
      <c r="D86" s="8">
        <f t="shared" si="13"/>
        <v>38.563999999999993</v>
      </c>
      <c r="E86" s="2">
        <f t="shared" si="17"/>
        <v>19.231999999999996</v>
      </c>
      <c r="F86" s="3">
        <f t="shared" si="14"/>
        <v>200</v>
      </c>
      <c r="G86" s="2">
        <f t="shared" si="15"/>
        <v>1.25</v>
      </c>
      <c r="H86" s="2">
        <f t="shared" si="16"/>
        <v>17.981999999999996</v>
      </c>
    </row>
    <row r="87" spans="1:8" x14ac:dyDescent="0.25">
      <c r="A87" t="s">
        <v>20</v>
      </c>
      <c r="B87">
        <v>25</v>
      </c>
      <c r="C87" s="3">
        <f t="shared" si="12"/>
        <v>48.563999999999993</v>
      </c>
      <c r="D87" s="8">
        <f t="shared" si="13"/>
        <v>38.563999999999993</v>
      </c>
      <c r="E87" s="2">
        <f t="shared" si="17"/>
        <v>19.231999999999996</v>
      </c>
      <c r="F87" s="3">
        <f t="shared" si="14"/>
        <v>200</v>
      </c>
      <c r="G87" s="2">
        <f t="shared" si="15"/>
        <v>1.25</v>
      </c>
      <c r="H87" s="2">
        <f t="shared" si="16"/>
        <v>17.981999999999996</v>
      </c>
    </row>
    <row r="88" spans="1:8" x14ac:dyDescent="0.25">
      <c r="A88" t="s">
        <v>20</v>
      </c>
      <c r="B88">
        <v>26</v>
      </c>
      <c r="C88" s="3">
        <f t="shared" si="12"/>
        <v>48.563999999999993</v>
      </c>
      <c r="D88" s="8">
        <f t="shared" si="13"/>
        <v>38.563999999999993</v>
      </c>
      <c r="E88" s="2">
        <f t="shared" si="17"/>
        <v>19.231999999999996</v>
      </c>
      <c r="F88" s="3">
        <f t="shared" si="14"/>
        <v>200</v>
      </c>
      <c r="G88" s="2">
        <f t="shared" si="15"/>
        <v>1.25</v>
      </c>
      <c r="H88" s="2">
        <f t="shared" si="16"/>
        <v>17.981999999999996</v>
      </c>
    </row>
    <row r="89" spans="1:8" x14ac:dyDescent="0.25">
      <c r="A89" t="s">
        <v>20</v>
      </c>
      <c r="B89">
        <v>27</v>
      </c>
      <c r="C89" s="3">
        <f t="shared" si="12"/>
        <v>48.563999999999993</v>
      </c>
      <c r="D89" s="8">
        <f t="shared" si="13"/>
        <v>38.563999999999993</v>
      </c>
      <c r="E89" s="2">
        <f t="shared" si="17"/>
        <v>19.231999999999996</v>
      </c>
      <c r="F89" s="3">
        <f t="shared" si="14"/>
        <v>200</v>
      </c>
      <c r="G89" s="2">
        <f t="shared" si="15"/>
        <v>1.25</v>
      </c>
      <c r="H89" s="2">
        <f t="shared" si="16"/>
        <v>17.981999999999996</v>
      </c>
    </row>
    <row r="90" spans="1:8" x14ac:dyDescent="0.25">
      <c r="A90" t="s">
        <v>20</v>
      </c>
      <c r="B90">
        <v>28</v>
      </c>
      <c r="C90" s="3">
        <f t="shared" si="12"/>
        <v>48.563999999999993</v>
      </c>
      <c r="D90" s="8">
        <f t="shared" si="13"/>
        <v>38.563999999999993</v>
      </c>
      <c r="E90" s="2">
        <f t="shared" si="17"/>
        <v>19.231999999999996</v>
      </c>
      <c r="F90" s="3">
        <f t="shared" si="14"/>
        <v>200</v>
      </c>
      <c r="G90" s="2">
        <f t="shared" si="15"/>
        <v>1.25</v>
      </c>
      <c r="H90" s="2">
        <f t="shared" si="16"/>
        <v>17.981999999999996</v>
      </c>
    </row>
    <row r="91" spans="1:8" x14ac:dyDescent="0.25">
      <c r="A91" t="s">
        <v>20</v>
      </c>
      <c r="B91">
        <v>29</v>
      </c>
      <c r="C91" s="3">
        <f t="shared" si="12"/>
        <v>48.563999999999993</v>
      </c>
      <c r="D91" s="8">
        <f t="shared" si="13"/>
        <v>38.563999999999993</v>
      </c>
      <c r="E91" s="2">
        <f t="shared" si="17"/>
        <v>19.231999999999996</v>
      </c>
      <c r="F91" s="3">
        <f t="shared" si="14"/>
        <v>200</v>
      </c>
      <c r="G91" s="2">
        <f t="shared" si="15"/>
        <v>1.25</v>
      </c>
      <c r="H91" s="2">
        <f t="shared" si="16"/>
        <v>17.981999999999996</v>
      </c>
    </row>
    <row r="92" spans="1:8" x14ac:dyDescent="0.25">
      <c r="A92" t="s">
        <v>20</v>
      </c>
      <c r="B92">
        <v>30</v>
      </c>
      <c r="C92" s="3">
        <f t="shared" si="12"/>
        <v>48.563999999999993</v>
      </c>
      <c r="D92" s="8">
        <f t="shared" si="13"/>
        <v>38.563999999999993</v>
      </c>
      <c r="E92" s="2">
        <f t="shared" si="17"/>
        <v>19.231999999999996</v>
      </c>
      <c r="F92" s="3">
        <f t="shared" si="14"/>
        <v>200</v>
      </c>
      <c r="G92" s="2">
        <f t="shared" si="15"/>
        <v>1.25</v>
      </c>
      <c r="H92" s="2">
        <f t="shared" si="16"/>
        <v>17.981999999999996</v>
      </c>
    </row>
    <row r="93" spans="1:8" x14ac:dyDescent="0.25">
      <c r="A93" t="s">
        <v>21</v>
      </c>
      <c r="B93">
        <v>1</v>
      </c>
      <c r="C93" s="3">
        <f t="shared" ref="C93:C123" si="18">JulSunHours*SolarMaxGenCap*SolarEfficiency</f>
        <v>49.019999999999989</v>
      </c>
      <c r="D93" s="8">
        <f t="shared" ref="D93:D123" si="19">(JulSunHours*(SolarMaxGenCap*SolarEfficiency))-JulPowerUse</f>
        <v>37.019999999999989</v>
      </c>
      <c r="E93" s="2">
        <f t="shared" si="17"/>
        <v>18.459999999999994</v>
      </c>
      <c r="F93" s="3">
        <f t="shared" ref="F93:F123" si="20">IF((F92*(1-JulDailyLossPct)-JulDailyLossAbs)+E93&gt;MaxPowerStore,MaxPowerStore,(IF(F92+E93&gt;0.1,(F92*(1-JulDailyLossPct)-JulDailyLossAbs)+ (IF(D93&lt;0,D93,E93)),0)))</f>
        <v>200</v>
      </c>
      <c r="G93" s="2">
        <f t="shared" ref="G93:G123" si="21">IF(F93&gt;0,JulDailyLossAbs+(F92*JulDailyLossPct),0)</f>
        <v>1.25</v>
      </c>
      <c r="H93" s="2">
        <f t="shared" ref="H93:H145" si="22">IF(E93&gt;0,E93-G93-(F93-F92),0)</f>
        <v>17.209999999999994</v>
      </c>
    </row>
    <row r="94" spans="1:8" x14ac:dyDescent="0.25">
      <c r="A94" t="s">
        <v>21</v>
      </c>
      <c r="B94">
        <v>2</v>
      </c>
      <c r="C94" s="3">
        <f t="shared" si="18"/>
        <v>49.019999999999989</v>
      </c>
      <c r="D94" s="8">
        <f t="shared" si="19"/>
        <v>37.019999999999989</v>
      </c>
      <c r="E94" s="2">
        <f t="shared" si="17"/>
        <v>18.459999999999994</v>
      </c>
      <c r="F94" s="3">
        <f t="shared" si="20"/>
        <v>200</v>
      </c>
      <c r="G94" s="2">
        <f t="shared" si="21"/>
        <v>1.25</v>
      </c>
      <c r="H94" s="2">
        <f t="shared" si="22"/>
        <v>17.209999999999994</v>
      </c>
    </row>
    <row r="95" spans="1:8" x14ac:dyDescent="0.25">
      <c r="A95" t="s">
        <v>21</v>
      </c>
      <c r="B95">
        <v>3</v>
      </c>
      <c r="C95" s="3">
        <f t="shared" si="18"/>
        <v>49.019999999999989</v>
      </c>
      <c r="D95" s="8">
        <f t="shared" si="19"/>
        <v>37.019999999999989</v>
      </c>
      <c r="E95" s="2">
        <f t="shared" si="17"/>
        <v>18.459999999999994</v>
      </c>
      <c r="F95" s="3">
        <f t="shared" si="20"/>
        <v>200</v>
      </c>
      <c r="G95" s="2">
        <f t="shared" si="21"/>
        <v>1.25</v>
      </c>
      <c r="H95" s="2">
        <f t="shared" si="22"/>
        <v>17.209999999999994</v>
      </c>
    </row>
    <row r="96" spans="1:8" x14ac:dyDescent="0.25">
      <c r="A96" t="s">
        <v>21</v>
      </c>
      <c r="B96">
        <v>4</v>
      </c>
      <c r="C96" s="3">
        <f t="shared" si="18"/>
        <v>49.019999999999989</v>
      </c>
      <c r="D96" s="8">
        <f t="shared" si="19"/>
        <v>37.019999999999989</v>
      </c>
      <c r="E96" s="2">
        <f t="shared" si="17"/>
        <v>18.459999999999994</v>
      </c>
      <c r="F96" s="3">
        <f t="shared" si="20"/>
        <v>200</v>
      </c>
      <c r="G96" s="2">
        <f t="shared" si="21"/>
        <v>1.25</v>
      </c>
      <c r="H96" s="2">
        <f t="shared" si="22"/>
        <v>17.209999999999994</v>
      </c>
    </row>
    <row r="97" spans="1:8" x14ac:dyDescent="0.25">
      <c r="A97" t="s">
        <v>21</v>
      </c>
      <c r="B97">
        <v>5</v>
      </c>
      <c r="C97" s="3">
        <f t="shared" si="18"/>
        <v>49.019999999999989</v>
      </c>
      <c r="D97" s="8">
        <f t="shared" si="19"/>
        <v>37.019999999999989</v>
      </c>
      <c r="E97" s="2">
        <f t="shared" si="17"/>
        <v>18.459999999999994</v>
      </c>
      <c r="F97" s="3">
        <f t="shared" si="20"/>
        <v>200</v>
      </c>
      <c r="G97" s="2">
        <f t="shared" si="21"/>
        <v>1.25</v>
      </c>
      <c r="H97" s="2">
        <f t="shared" si="22"/>
        <v>17.209999999999994</v>
      </c>
    </row>
    <row r="98" spans="1:8" x14ac:dyDescent="0.25">
      <c r="A98" t="s">
        <v>21</v>
      </c>
      <c r="B98">
        <v>6</v>
      </c>
      <c r="C98" s="3">
        <f t="shared" si="18"/>
        <v>49.019999999999989</v>
      </c>
      <c r="D98" s="8">
        <f t="shared" si="19"/>
        <v>37.019999999999989</v>
      </c>
      <c r="E98" s="2">
        <f t="shared" si="17"/>
        <v>18.459999999999994</v>
      </c>
      <c r="F98" s="3">
        <f t="shared" si="20"/>
        <v>200</v>
      </c>
      <c r="G98" s="2">
        <f t="shared" si="21"/>
        <v>1.25</v>
      </c>
      <c r="H98" s="2">
        <f t="shared" si="22"/>
        <v>17.209999999999994</v>
      </c>
    </row>
    <row r="99" spans="1:8" x14ac:dyDescent="0.25">
      <c r="A99" t="s">
        <v>21</v>
      </c>
      <c r="B99">
        <v>7</v>
      </c>
      <c r="C99" s="3">
        <f t="shared" si="18"/>
        <v>49.019999999999989</v>
      </c>
      <c r="D99" s="8">
        <f t="shared" si="19"/>
        <v>37.019999999999989</v>
      </c>
      <c r="E99" s="2">
        <f t="shared" si="17"/>
        <v>18.459999999999994</v>
      </c>
      <c r="F99" s="3">
        <f t="shared" si="20"/>
        <v>200</v>
      </c>
      <c r="G99" s="2">
        <f t="shared" si="21"/>
        <v>1.25</v>
      </c>
      <c r="H99" s="2">
        <f t="shared" si="22"/>
        <v>17.209999999999994</v>
      </c>
    </row>
    <row r="100" spans="1:8" x14ac:dyDescent="0.25">
      <c r="A100" t="s">
        <v>21</v>
      </c>
      <c r="B100">
        <v>8</v>
      </c>
      <c r="C100" s="3">
        <f t="shared" si="18"/>
        <v>49.019999999999989</v>
      </c>
      <c r="D100" s="8">
        <f t="shared" si="19"/>
        <v>37.019999999999989</v>
      </c>
      <c r="E100" s="2">
        <f t="shared" si="17"/>
        <v>18.459999999999994</v>
      </c>
      <c r="F100" s="3">
        <f t="shared" si="20"/>
        <v>200</v>
      </c>
      <c r="G100" s="2">
        <f t="shared" si="21"/>
        <v>1.25</v>
      </c>
      <c r="H100" s="2">
        <f t="shared" si="22"/>
        <v>17.209999999999994</v>
      </c>
    </row>
    <row r="101" spans="1:8" x14ac:dyDescent="0.25">
      <c r="A101" t="s">
        <v>21</v>
      </c>
      <c r="B101">
        <v>9</v>
      </c>
      <c r="C101" s="3">
        <f t="shared" si="18"/>
        <v>49.019999999999989</v>
      </c>
      <c r="D101" s="8">
        <f t="shared" si="19"/>
        <v>37.019999999999989</v>
      </c>
      <c r="E101" s="2">
        <f t="shared" si="17"/>
        <v>18.459999999999994</v>
      </c>
      <c r="F101" s="3">
        <f t="shared" si="20"/>
        <v>200</v>
      </c>
      <c r="G101" s="2">
        <f t="shared" si="21"/>
        <v>1.25</v>
      </c>
      <c r="H101" s="2">
        <f t="shared" si="22"/>
        <v>17.209999999999994</v>
      </c>
    </row>
    <row r="102" spans="1:8" x14ac:dyDescent="0.25">
      <c r="A102" t="s">
        <v>21</v>
      </c>
      <c r="B102">
        <v>10</v>
      </c>
      <c r="C102" s="3">
        <f t="shared" si="18"/>
        <v>49.019999999999989</v>
      </c>
      <c r="D102" s="8">
        <f t="shared" si="19"/>
        <v>37.019999999999989</v>
      </c>
      <c r="E102" s="2">
        <f t="shared" si="17"/>
        <v>18.459999999999994</v>
      </c>
      <c r="F102" s="3">
        <f t="shared" si="20"/>
        <v>200</v>
      </c>
      <c r="G102" s="2">
        <f t="shared" si="21"/>
        <v>1.25</v>
      </c>
      <c r="H102" s="2">
        <f t="shared" si="22"/>
        <v>17.209999999999994</v>
      </c>
    </row>
    <row r="103" spans="1:8" x14ac:dyDescent="0.25">
      <c r="A103" t="s">
        <v>21</v>
      </c>
      <c r="B103">
        <v>11</v>
      </c>
      <c r="C103" s="3">
        <f t="shared" si="18"/>
        <v>49.019999999999989</v>
      </c>
      <c r="D103" s="8">
        <f t="shared" si="19"/>
        <v>37.019999999999989</v>
      </c>
      <c r="E103" s="2">
        <f t="shared" si="17"/>
        <v>18.459999999999994</v>
      </c>
      <c r="F103" s="3">
        <f t="shared" si="20"/>
        <v>200</v>
      </c>
      <c r="G103" s="2">
        <f t="shared" si="21"/>
        <v>1.25</v>
      </c>
      <c r="H103" s="2">
        <f t="shared" si="22"/>
        <v>17.209999999999994</v>
      </c>
    </row>
    <row r="104" spans="1:8" x14ac:dyDescent="0.25">
      <c r="A104" t="s">
        <v>21</v>
      </c>
      <c r="B104">
        <v>12</v>
      </c>
      <c r="C104" s="3">
        <f t="shared" si="18"/>
        <v>49.019999999999989</v>
      </c>
      <c r="D104" s="8">
        <f t="shared" si="19"/>
        <v>37.019999999999989</v>
      </c>
      <c r="E104" s="2">
        <f t="shared" si="17"/>
        <v>18.459999999999994</v>
      </c>
      <c r="F104" s="3">
        <f t="shared" si="20"/>
        <v>200</v>
      </c>
      <c r="G104" s="2">
        <f t="shared" si="21"/>
        <v>1.25</v>
      </c>
      <c r="H104" s="2">
        <f t="shared" si="22"/>
        <v>17.209999999999994</v>
      </c>
    </row>
    <row r="105" spans="1:8" x14ac:dyDescent="0.25">
      <c r="A105" t="s">
        <v>21</v>
      </c>
      <c r="B105">
        <v>13</v>
      </c>
      <c r="C105" s="3">
        <f t="shared" si="18"/>
        <v>49.019999999999989</v>
      </c>
      <c r="D105" s="8">
        <f t="shared" si="19"/>
        <v>37.019999999999989</v>
      </c>
      <c r="E105" s="2">
        <f t="shared" si="17"/>
        <v>18.459999999999994</v>
      </c>
      <c r="F105" s="3">
        <f t="shared" si="20"/>
        <v>200</v>
      </c>
      <c r="G105" s="2">
        <f t="shared" si="21"/>
        <v>1.25</v>
      </c>
      <c r="H105" s="2">
        <f t="shared" si="22"/>
        <v>17.209999999999994</v>
      </c>
    </row>
    <row r="106" spans="1:8" x14ac:dyDescent="0.25">
      <c r="A106" t="s">
        <v>21</v>
      </c>
      <c r="B106">
        <v>14</v>
      </c>
      <c r="C106" s="3">
        <f t="shared" si="18"/>
        <v>49.019999999999989</v>
      </c>
      <c r="D106" s="8">
        <f t="shared" si="19"/>
        <v>37.019999999999989</v>
      </c>
      <c r="E106" s="2">
        <f t="shared" si="17"/>
        <v>18.459999999999994</v>
      </c>
      <c r="F106" s="3">
        <f t="shared" si="20"/>
        <v>200</v>
      </c>
      <c r="G106" s="2">
        <f t="shared" si="21"/>
        <v>1.25</v>
      </c>
      <c r="H106" s="2">
        <f t="shared" si="22"/>
        <v>17.209999999999994</v>
      </c>
    </row>
    <row r="107" spans="1:8" x14ac:dyDescent="0.25">
      <c r="A107" t="s">
        <v>21</v>
      </c>
      <c r="B107">
        <v>15</v>
      </c>
      <c r="C107" s="3">
        <f t="shared" si="18"/>
        <v>49.019999999999989</v>
      </c>
      <c r="D107" s="8">
        <f t="shared" si="19"/>
        <v>37.019999999999989</v>
      </c>
      <c r="E107" s="2">
        <f t="shared" si="17"/>
        <v>18.459999999999994</v>
      </c>
      <c r="F107" s="3">
        <f t="shared" si="20"/>
        <v>200</v>
      </c>
      <c r="G107" s="2">
        <f t="shared" si="21"/>
        <v>1.25</v>
      </c>
      <c r="H107" s="2">
        <f t="shared" si="22"/>
        <v>17.209999999999994</v>
      </c>
    </row>
    <row r="108" spans="1:8" x14ac:dyDescent="0.25">
      <c r="A108" t="s">
        <v>21</v>
      </c>
      <c r="B108">
        <v>16</v>
      </c>
      <c r="C108" s="3">
        <f t="shared" si="18"/>
        <v>49.019999999999989</v>
      </c>
      <c r="D108" s="8">
        <f t="shared" si="19"/>
        <v>37.019999999999989</v>
      </c>
      <c r="E108" s="2">
        <f t="shared" si="17"/>
        <v>18.459999999999994</v>
      </c>
      <c r="F108" s="3">
        <f t="shared" si="20"/>
        <v>200</v>
      </c>
      <c r="G108" s="2">
        <f t="shared" si="21"/>
        <v>1.25</v>
      </c>
      <c r="H108" s="2">
        <f t="shared" si="22"/>
        <v>17.209999999999994</v>
      </c>
    </row>
    <row r="109" spans="1:8" x14ac:dyDescent="0.25">
      <c r="A109" t="s">
        <v>21</v>
      </c>
      <c r="B109">
        <v>17</v>
      </c>
      <c r="C109" s="3">
        <f t="shared" si="18"/>
        <v>49.019999999999989</v>
      </c>
      <c r="D109" s="8">
        <f t="shared" si="19"/>
        <v>37.019999999999989</v>
      </c>
      <c r="E109" s="2">
        <f t="shared" si="17"/>
        <v>18.459999999999994</v>
      </c>
      <c r="F109" s="3">
        <f t="shared" si="20"/>
        <v>200</v>
      </c>
      <c r="G109" s="2">
        <f t="shared" si="21"/>
        <v>1.25</v>
      </c>
      <c r="H109" s="2">
        <f t="shared" si="22"/>
        <v>17.209999999999994</v>
      </c>
    </row>
    <row r="110" spans="1:8" x14ac:dyDescent="0.25">
      <c r="A110" t="s">
        <v>21</v>
      </c>
      <c r="B110">
        <v>18</v>
      </c>
      <c r="C110" s="3">
        <f t="shared" si="18"/>
        <v>49.019999999999989</v>
      </c>
      <c r="D110" s="8">
        <f t="shared" si="19"/>
        <v>37.019999999999989</v>
      </c>
      <c r="E110" s="2">
        <f t="shared" si="17"/>
        <v>18.459999999999994</v>
      </c>
      <c r="F110" s="3">
        <f t="shared" si="20"/>
        <v>200</v>
      </c>
      <c r="G110" s="2">
        <f t="shared" si="21"/>
        <v>1.25</v>
      </c>
      <c r="H110" s="2">
        <f t="shared" si="22"/>
        <v>17.209999999999994</v>
      </c>
    </row>
    <row r="111" spans="1:8" x14ac:dyDescent="0.25">
      <c r="A111" t="s">
        <v>21</v>
      </c>
      <c r="B111">
        <v>19</v>
      </c>
      <c r="C111" s="3">
        <f t="shared" si="18"/>
        <v>49.019999999999989</v>
      </c>
      <c r="D111" s="8">
        <f t="shared" si="19"/>
        <v>37.019999999999989</v>
      </c>
      <c r="E111" s="2">
        <f t="shared" si="17"/>
        <v>18.459999999999994</v>
      </c>
      <c r="F111" s="3">
        <f t="shared" si="20"/>
        <v>200</v>
      </c>
      <c r="G111" s="2">
        <f t="shared" si="21"/>
        <v>1.25</v>
      </c>
      <c r="H111" s="2">
        <f t="shared" si="22"/>
        <v>17.209999999999994</v>
      </c>
    </row>
    <row r="112" spans="1:8" x14ac:dyDescent="0.25">
      <c r="A112" t="s">
        <v>21</v>
      </c>
      <c r="B112">
        <v>20</v>
      </c>
      <c r="C112" s="3">
        <f t="shared" si="18"/>
        <v>49.019999999999989</v>
      </c>
      <c r="D112" s="8">
        <f t="shared" si="19"/>
        <v>37.019999999999989</v>
      </c>
      <c r="E112" s="2">
        <f t="shared" si="17"/>
        <v>18.459999999999994</v>
      </c>
      <c r="F112" s="3">
        <f t="shared" si="20"/>
        <v>200</v>
      </c>
      <c r="G112" s="2">
        <f t="shared" si="21"/>
        <v>1.25</v>
      </c>
      <c r="H112" s="2">
        <f t="shared" si="22"/>
        <v>17.209999999999994</v>
      </c>
    </row>
    <row r="113" spans="1:8" x14ac:dyDescent="0.25">
      <c r="A113" t="s">
        <v>21</v>
      </c>
      <c r="B113">
        <v>21</v>
      </c>
      <c r="C113" s="3">
        <f t="shared" si="18"/>
        <v>49.019999999999989</v>
      </c>
      <c r="D113" s="8">
        <f t="shared" si="19"/>
        <v>37.019999999999989</v>
      </c>
      <c r="E113" s="2">
        <f t="shared" si="17"/>
        <v>18.459999999999994</v>
      </c>
      <c r="F113" s="3">
        <f t="shared" si="20"/>
        <v>200</v>
      </c>
      <c r="G113" s="2">
        <f t="shared" si="21"/>
        <v>1.25</v>
      </c>
      <c r="H113" s="2">
        <f t="shared" si="22"/>
        <v>17.209999999999994</v>
      </c>
    </row>
    <row r="114" spans="1:8" x14ac:dyDescent="0.25">
      <c r="A114" t="s">
        <v>21</v>
      </c>
      <c r="B114">
        <v>22</v>
      </c>
      <c r="C114" s="3">
        <f t="shared" si="18"/>
        <v>49.019999999999989</v>
      </c>
      <c r="D114" s="8">
        <f t="shared" si="19"/>
        <v>37.019999999999989</v>
      </c>
      <c r="E114" s="2">
        <f t="shared" si="17"/>
        <v>18.459999999999994</v>
      </c>
      <c r="F114" s="3">
        <f t="shared" si="20"/>
        <v>200</v>
      </c>
      <c r="G114" s="2">
        <f t="shared" si="21"/>
        <v>1.25</v>
      </c>
      <c r="H114" s="2">
        <f t="shared" si="22"/>
        <v>17.209999999999994</v>
      </c>
    </row>
    <row r="115" spans="1:8" x14ac:dyDescent="0.25">
      <c r="A115" t="s">
        <v>21</v>
      </c>
      <c r="B115">
        <v>23</v>
      </c>
      <c r="C115" s="3">
        <f t="shared" si="18"/>
        <v>49.019999999999989</v>
      </c>
      <c r="D115" s="8">
        <f t="shared" si="19"/>
        <v>37.019999999999989</v>
      </c>
      <c r="E115" s="2">
        <f t="shared" si="17"/>
        <v>18.459999999999994</v>
      </c>
      <c r="F115" s="3">
        <f t="shared" si="20"/>
        <v>200</v>
      </c>
      <c r="G115" s="2">
        <f t="shared" si="21"/>
        <v>1.25</v>
      </c>
      <c r="H115" s="2">
        <f t="shared" si="22"/>
        <v>17.209999999999994</v>
      </c>
    </row>
    <row r="116" spans="1:8" x14ac:dyDescent="0.25">
      <c r="A116" t="s">
        <v>21</v>
      </c>
      <c r="B116">
        <v>24</v>
      </c>
      <c r="C116" s="3">
        <f t="shared" si="18"/>
        <v>49.019999999999989</v>
      </c>
      <c r="D116" s="8">
        <f t="shared" si="19"/>
        <v>37.019999999999989</v>
      </c>
      <c r="E116" s="2">
        <f t="shared" si="17"/>
        <v>18.459999999999994</v>
      </c>
      <c r="F116" s="3">
        <f t="shared" si="20"/>
        <v>200</v>
      </c>
      <c r="G116" s="2">
        <f t="shared" si="21"/>
        <v>1.25</v>
      </c>
      <c r="H116" s="2">
        <f t="shared" si="22"/>
        <v>17.209999999999994</v>
      </c>
    </row>
    <row r="117" spans="1:8" x14ac:dyDescent="0.25">
      <c r="A117" t="s">
        <v>21</v>
      </c>
      <c r="B117">
        <v>25</v>
      </c>
      <c r="C117" s="3">
        <f t="shared" si="18"/>
        <v>49.019999999999989</v>
      </c>
      <c r="D117" s="8">
        <f t="shared" si="19"/>
        <v>37.019999999999989</v>
      </c>
      <c r="E117" s="2">
        <f t="shared" si="17"/>
        <v>18.459999999999994</v>
      </c>
      <c r="F117" s="3">
        <f t="shared" si="20"/>
        <v>200</v>
      </c>
      <c r="G117" s="2">
        <f t="shared" si="21"/>
        <v>1.25</v>
      </c>
      <c r="H117" s="2">
        <f t="shared" si="22"/>
        <v>17.209999999999994</v>
      </c>
    </row>
    <row r="118" spans="1:8" x14ac:dyDescent="0.25">
      <c r="A118" t="s">
        <v>21</v>
      </c>
      <c r="B118">
        <v>26</v>
      </c>
      <c r="C118" s="3">
        <f t="shared" si="18"/>
        <v>49.019999999999989</v>
      </c>
      <c r="D118" s="8">
        <f t="shared" si="19"/>
        <v>37.019999999999989</v>
      </c>
      <c r="E118" s="2">
        <f t="shared" si="17"/>
        <v>18.459999999999994</v>
      </c>
      <c r="F118" s="3">
        <f t="shared" si="20"/>
        <v>200</v>
      </c>
      <c r="G118" s="2">
        <f t="shared" si="21"/>
        <v>1.25</v>
      </c>
      <c r="H118" s="2">
        <f t="shared" si="22"/>
        <v>17.209999999999994</v>
      </c>
    </row>
    <row r="119" spans="1:8" x14ac:dyDescent="0.25">
      <c r="A119" t="s">
        <v>21</v>
      </c>
      <c r="B119">
        <v>27</v>
      </c>
      <c r="C119" s="3">
        <f t="shared" si="18"/>
        <v>49.019999999999989</v>
      </c>
      <c r="D119" s="8">
        <f t="shared" si="19"/>
        <v>37.019999999999989</v>
      </c>
      <c r="E119" s="2">
        <f t="shared" si="17"/>
        <v>18.459999999999994</v>
      </c>
      <c r="F119" s="3">
        <f t="shared" si="20"/>
        <v>200</v>
      </c>
      <c r="G119" s="2">
        <f t="shared" si="21"/>
        <v>1.25</v>
      </c>
      <c r="H119" s="2">
        <f t="shared" si="22"/>
        <v>17.209999999999994</v>
      </c>
    </row>
    <row r="120" spans="1:8" x14ac:dyDescent="0.25">
      <c r="A120" t="s">
        <v>21</v>
      </c>
      <c r="B120">
        <v>28</v>
      </c>
      <c r="C120" s="3">
        <f t="shared" si="18"/>
        <v>49.019999999999989</v>
      </c>
      <c r="D120" s="8">
        <f t="shared" si="19"/>
        <v>37.019999999999989</v>
      </c>
      <c r="E120" s="2">
        <f t="shared" si="17"/>
        <v>18.459999999999994</v>
      </c>
      <c r="F120" s="3">
        <f t="shared" si="20"/>
        <v>200</v>
      </c>
      <c r="G120" s="2">
        <f t="shared" si="21"/>
        <v>1.25</v>
      </c>
      <c r="H120" s="2">
        <f t="shared" si="22"/>
        <v>17.209999999999994</v>
      </c>
    </row>
    <row r="121" spans="1:8" x14ac:dyDescent="0.25">
      <c r="A121" t="s">
        <v>21</v>
      </c>
      <c r="B121">
        <v>29</v>
      </c>
      <c r="C121" s="3">
        <f t="shared" si="18"/>
        <v>49.019999999999989</v>
      </c>
      <c r="D121" s="8">
        <f t="shared" si="19"/>
        <v>37.019999999999989</v>
      </c>
      <c r="E121" s="2">
        <f t="shared" si="17"/>
        <v>18.459999999999994</v>
      </c>
      <c r="F121" s="3">
        <f t="shared" si="20"/>
        <v>200</v>
      </c>
      <c r="G121" s="2">
        <f t="shared" si="21"/>
        <v>1.25</v>
      </c>
      <c r="H121" s="2">
        <f t="shared" si="22"/>
        <v>17.209999999999994</v>
      </c>
    </row>
    <row r="122" spans="1:8" x14ac:dyDescent="0.25">
      <c r="A122" t="s">
        <v>21</v>
      </c>
      <c r="B122">
        <v>30</v>
      </c>
      <c r="C122" s="3">
        <f t="shared" si="18"/>
        <v>49.019999999999989</v>
      </c>
      <c r="D122" s="8">
        <f t="shared" si="19"/>
        <v>37.019999999999989</v>
      </c>
      <c r="E122" s="2">
        <f t="shared" si="17"/>
        <v>18.459999999999994</v>
      </c>
      <c r="F122" s="3">
        <f t="shared" si="20"/>
        <v>200</v>
      </c>
      <c r="G122" s="2">
        <f t="shared" si="21"/>
        <v>1.25</v>
      </c>
      <c r="H122" s="2">
        <f t="shared" si="22"/>
        <v>17.209999999999994</v>
      </c>
    </row>
    <row r="123" spans="1:8" x14ac:dyDescent="0.25">
      <c r="A123" t="s">
        <v>21</v>
      </c>
      <c r="B123">
        <v>31</v>
      </c>
      <c r="C123" s="3">
        <f t="shared" si="18"/>
        <v>49.019999999999989</v>
      </c>
      <c r="D123" s="8">
        <f t="shared" si="19"/>
        <v>37.019999999999989</v>
      </c>
      <c r="E123" s="2">
        <f t="shared" si="17"/>
        <v>18.459999999999994</v>
      </c>
      <c r="F123" s="3">
        <f t="shared" si="20"/>
        <v>200</v>
      </c>
      <c r="G123" s="2">
        <f t="shared" si="21"/>
        <v>1.25</v>
      </c>
      <c r="H123" s="2">
        <f t="shared" si="22"/>
        <v>17.209999999999994</v>
      </c>
    </row>
    <row r="124" spans="1:8" x14ac:dyDescent="0.25">
      <c r="A124" t="s">
        <v>32</v>
      </c>
      <c r="B124">
        <v>1</v>
      </c>
      <c r="C124" s="3">
        <f t="shared" ref="C124:C154" si="23">AugSunHours*SolarMaxGenCap*SolarEfficiency</f>
        <v>63.839999999999989</v>
      </c>
      <c r="D124" s="8">
        <f t="shared" ref="D124:D154" si="24">(AugSunHours*(SolarMaxGenCap*SolarEfficiency))-AugPowerUse</f>
        <v>48.839999999999989</v>
      </c>
      <c r="E124" s="2">
        <f t="shared" si="17"/>
        <v>24.369999999999994</v>
      </c>
      <c r="F124" s="3">
        <f t="shared" ref="F124:F154" si="25">IF((F123*(1-AugDailyLossPct)-AugDailyLossAbs)+E124&gt;MaxPowerStore,MaxPowerStore,(IF(F123+E124&gt;0.1,(F123*(1-AugDailyLossPct)-AugDailyLossAbs)+ (IF(D124&lt;0,D124,E124)),0)))</f>
        <v>200</v>
      </c>
      <c r="G124" s="2">
        <f t="shared" ref="G124:G154" si="26">IF(F124&gt;0,AugDailyLossAbs+(F123*AugDailyLossPct),0)</f>
        <v>1.25</v>
      </c>
      <c r="H124" s="2">
        <f t="shared" si="22"/>
        <v>23.119999999999994</v>
      </c>
    </row>
    <row r="125" spans="1:8" x14ac:dyDescent="0.25">
      <c r="A125" t="s">
        <v>32</v>
      </c>
      <c r="B125">
        <v>2</v>
      </c>
      <c r="C125" s="3">
        <f t="shared" si="23"/>
        <v>63.839999999999989</v>
      </c>
      <c r="D125" s="8">
        <f t="shared" si="24"/>
        <v>48.839999999999989</v>
      </c>
      <c r="E125" s="2">
        <f t="shared" si="17"/>
        <v>24.369999999999994</v>
      </c>
      <c r="F125" s="3">
        <f t="shared" si="25"/>
        <v>200</v>
      </c>
      <c r="G125" s="2">
        <f t="shared" si="26"/>
        <v>1.25</v>
      </c>
      <c r="H125" s="2">
        <f t="shared" si="22"/>
        <v>23.119999999999994</v>
      </c>
    </row>
    <row r="126" spans="1:8" x14ac:dyDescent="0.25">
      <c r="A126" t="s">
        <v>32</v>
      </c>
      <c r="B126">
        <v>3</v>
      </c>
      <c r="C126" s="3">
        <f t="shared" si="23"/>
        <v>63.839999999999989</v>
      </c>
      <c r="D126" s="8">
        <f t="shared" si="24"/>
        <v>48.839999999999989</v>
      </c>
      <c r="E126" s="2">
        <f t="shared" si="17"/>
        <v>24.369999999999994</v>
      </c>
      <c r="F126" s="3">
        <f t="shared" si="25"/>
        <v>200</v>
      </c>
      <c r="G126" s="2">
        <f t="shared" si="26"/>
        <v>1.25</v>
      </c>
      <c r="H126" s="2">
        <f t="shared" si="22"/>
        <v>23.119999999999994</v>
      </c>
    </row>
    <row r="127" spans="1:8" x14ac:dyDescent="0.25">
      <c r="A127" t="s">
        <v>32</v>
      </c>
      <c r="B127">
        <v>4</v>
      </c>
      <c r="C127" s="3">
        <f t="shared" si="23"/>
        <v>63.839999999999989</v>
      </c>
      <c r="D127" s="8">
        <f t="shared" si="24"/>
        <v>48.839999999999989</v>
      </c>
      <c r="E127" s="2">
        <f t="shared" si="17"/>
        <v>24.369999999999994</v>
      </c>
      <c r="F127" s="3">
        <f t="shared" si="25"/>
        <v>200</v>
      </c>
      <c r="G127" s="2">
        <f t="shared" si="26"/>
        <v>1.25</v>
      </c>
      <c r="H127" s="2">
        <f t="shared" si="22"/>
        <v>23.119999999999994</v>
      </c>
    </row>
    <row r="128" spans="1:8" x14ac:dyDescent="0.25">
      <c r="A128" t="s">
        <v>32</v>
      </c>
      <c r="B128">
        <v>5</v>
      </c>
      <c r="C128" s="3">
        <f t="shared" si="23"/>
        <v>63.839999999999989</v>
      </c>
      <c r="D128" s="8">
        <f t="shared" si="24"/>
        <v>48.839999999999989</v>
      </c>
      <c r="E128" s="2">
        <f t="shared" si="17"/>
        <v>24.369999999999994</v>
      </c>
      <c r="F128" s="3">
        <f t="shared" si="25"/>
        <v>200</v>
      </c>
      <c r="G128" s="2">
        <f t="shared" si="26"/>
        <v>1.25</v>
      </c>
      <c r="H128" s="2">
        <f t="shared" si="22"/>
        <v>23.119999999999994</v>
      </c>
    </row>
    <row r="129" spans="1:8" x14ac:dyDescent="0.25">
      <c r="A129" t="s">
        <v>32</v>
      </c>
      <c r="B129">
        <v>6</v>
      </c>
      <c r="C129" s="3">
        <f t="shared" si="23"/>
        <v>63.839999999999989</v>
      </c>
      <c r="D129" s="8">
        <f t="shared" si="24"/>
        <v>48.839999999999989</v>
      </c>
      <c r="E129" s="2">
        <f t="shared" si="17"/>
        <v>24.369999999999994</v>
      </c>
      <c r="F129" s="3">
        <f t="shared" si="25"/>
        <v>200</v>
      </c>
      <c r="G129" s="2">
        <f t="shared" si="26"/>
        <v>1.25</v>
      </c>
      <c r="H129" s="2">
        <f t="shared" si="22"/>
        <v>23.119999999999994</v>
      </c>
    </row>
    <row r="130" spans="1:8" x14ac:dyDescent="0.25">
      <c r="A130" t="s">
        <v>32</v>
      </c>
      <c r="B130">
        <v>7</v>
      </c>
      <c r="C130" s="3">
        <f t="shared" si="23"/>
        <v>63.839999999999989</v>
      </c>
      <c r="D130" s="8">
        <f t="shared" si="24"/>
        <v>48.839999999999989</v>
      </c>
      <c r="E130" s="2">
        <f t="shared" ref="E130:E193" si="27">IF(D130&gt;MinWastedPower,(D130-MinWastedPower)*RoundtripEfficiency,0)</f>
        <v>24.369999999999994</v>
      </c>
      <c r="F130" s="3">
        <f t="shared" si="25"/>
        <v>200</v>
      </c>
      <c r="G130" s="2">
        <f t="shared" si="26"/>
        <v>1.25</v>
      </c>
      <c r="H130" s="2">
        <f t="shared" si="22"/>
        <v>23.119999999999994</v>
      </c>
    </row>
    <row r="131" spans="1:8" x14ac:dyDescent="0.25">
      <c r="A131" t="s">
        <v>32</v>
      </c>
      <c r="B131">
        <v>8</v>
      </c>
      <c r="C131" s="3">
        <f t="shared" si="23"/>
        <v>63.839999999999989</v>
      </c>
      <c r="D131" s="8">
        <f t="shared" si="24"/>
        <v>48.839999999999989</v>
      </c>
      <c r="E131" s="2">
        <f t="shared" si="27"/>
        <v>24.369999999999994</v>
      </c>
      <c r="F131" s="3">
        <f t="shared" si="25"/>
        <v>200</v>
      </c>
      <c r="G131" s="2">
        <f t="shared" si="26"/>
        <v>1.25</v>
      </c>
      <c r="H131" s="2">
        <f t="shared" si="22"/>
        <v>23.119999999999994</v>
      </c>
    </row>
    <row r="132" spans="1:8" x14ac:dyDescent="0.25">
      <c r="A132" t="s">
        <v>32</v>
      </c>
      <c r="B132">
        <v>9</v>
      </c>
      <c r="C132" s="3">
        <f t="shared" si="23"/>
        <v>63.839999999999989</v>
      </c>
      <c r="D132" s="8">
        <f t="shared" si="24"/>
        <v>48.839999999999989</v>
      </c>
      <c r="E132" s="2">
        <f t="shared" si="27"/>
        <v>24.369999999999994</v>
      </c>
      <c r="F132" s="3">
        <f t="shared" si="25"/>
        <v>200</v>
      </c>
      <c r="G132" s="2">
        <f t="shared" si="26"/>
        <v>1.25</v>
      </c>
      <c r="H132" s="2">
        <f t="shared" si="22"/>
        <v>23.119999999999994</v>
      </c>
    </row>
    <row r="133" spans="1:8" x14ac:dyDescent="0.25">
      <c r="A133" t="s">
        <v>32</v>
      </c>
      <c r="B133">
        <v>10</v>
      </c>
      <c r="C133" s="3">
        <f t="shared" si="23"/>
        <v>63.839999999999989</v>
      </c>
      <c r="D133" s="8">
        <f t="shared" si="24"/>
        <v>48.839999999999989</v>
      </c>
      <c r="E133" s="2">
        <f t="shared" si="27"/>
        <v>24.369999999999994</v>
      </c>
      <c r="F133" s="3">
        <f t="shared" si="25"/>
        <v>200</v>
      </c>
      <c r="G133" s="2">
        <f t="shared" si="26"/>
        <v>1.25</v>
      </c>
      <c r="H133" s="2">
        <f t="shared" si="22"/>
        <v>23.119999999999994</v>
      </c>
    </row>
    <row r="134" spans="1:8" x14ac:dyDescent="0.25">
      <c r="A134" t="s">
        <v>32</v>
      </c>
      <c r="B134">
        <v>11</v>
      </c>
      <c r="C134" s="3">
        <f t="shared" si="23"/>
        <v>63.839999999999989</v>
      </c>
      <c r="D134" s="8">
        <f t="shared" si="24"/>
        <v>48.839999999999989</v>
      </c>
      <c r="E134" s="2">
        <f t="shared" si="27"/>
        <v>24.369999999999994</v>
      </c>
      <c r="F134" s="3">
        <f t="shared" si="25"/>
        <v>200</v>
      </c>
      <c r="G134" s="2">
        <f t="shared" si="26"/>
        <v>1.25</v>
      </c>
      <c r="H134" s="2">
        <f t="shared" si="22"/>
        <v>23.119999999999994</v>
      </c>
    </row>
    <row r="135" spans="1:8" x14ac:dyDescent="0.25">
      <c r="A135" t="s">
        <v>32</v>
      </c>
      <c r="B135">
        <v>12</v>
      </c>
      <c r="C135" s="3">
        <f t="shared" si="23"/>
        <v>63.839999999999989</v>
      </c>
      <c r="D135" s="8">
        <f t="shared" si="24"/>
        <v>48.839999999999989</v>
      </c>
      <c r="E135" s="2">
        <f t="shared" si="27"/>
        <v>24.369999999999994</v>
      </c>
      <c r="F135" s="3">
        <f t="shared" si="25"/>
        <v>200</v>
      </c>
      <c r="G135" s="2">
        <f t="shared" si="26"/>
        <v>1.25</v>
      </c>
      <c r="H135" s="2">
        <f t="shared" si="22"/>
        <v>23.119999999999994</v>
      </c>
    </row>
    <row r="136" spans="1:8" x14ac:dyDescent="0.25">
      <c r="A136" t="s">
        <v>32</v>
      </c>
      <c r="B136">
        <v>13</v>
      </c>
      <c r="C136" s="3">
        <f t="shared" si="23"/>
        <v>63.839999999999989</v>
      </c>
      <c r="D136" s="8">
        <f t="shared" si="24"/>
        <v>48.839999999999989</v>
      </c>
      <c r="E136" s="2">
        <f t="shared" si="27"/>
        <v>24.369999999999994</v>
      </c>
      <c r="F136" s="3">
        <f t="shared" si="25"/>
        <v>200</v>
      </c>
      <c r="G136" s="2">
        <f t="shared" si="26"/>
        <v>1.25</v>
      </c>
      <c r="H136" s="2">
        <f t="shared" si="22"/>
        <v>23.119999999999994</v>
      </c>
    </row>
    <row r="137" spans="1:8" x14ac:dyDescent="0.25">
      <c r="A137" t="s">
        <v>32</v>
      </c>
      <c r="B137">
        <v>14</v>
      </c>
      <c r="C137" s="3">
        <f t="shared" si="23"/>
        <v>63.839999999999989</v>
      </c>
      <c r="D137" s="8">
        <f t="shared" si="24"/>
        <v>48.839999999999989</v>
      </c>
      <c r="E137" s="2">
        <f t="shared" si="27"/>
        <v>24.369999999999994</v>
      </c>
      <c r="F137" s="3">
        <f t="shared" si="25"/>
        <v>200</v>
      </c>
      <c r="G137" s="2">
        <f t="shared" si="26"/>
        <v>1.25</v>
      </c>
      <c r="H137" s="2">
        <f t="shared" si="22"/>
        <v>23.119999999999994</v>
      </c>
    </row>
    <row r="138" spans="1:8" x14ac:dyDescent="0.25">
      <c r="A138" t="s">
        <v>32</v>
      </c>
      <c r="B138">
        <v>15</v>
      </c>
      <c r="C138" s="3">
        <f t="shared" si="23"/>
        <v>63.839999999999989</v>
      </c>
      <c r="D138" s="8">
        <f t="shared" si="24"/>
        <v>48.839999999999989</v>
      </c>
      <c r="E138" s="2">
        <f t="shared" si="27"/>
        <v>24.369999999999994</v>
      </c>
      <c r="F138" s="3">
        <f t="shared" si="25"/>
        <v>200</v>
      </c>
      <c r="G138" s="2">
        <f t="shared" si="26"/>
        <v>1.25</v>
      </c>
      <c r="H138" s="2">
        <f t="shared" si="22"/>
        <v>23.119999999999994</v>
      </c>
    </row>
    <row r="139" spans="1:8" x14ac:dyDescent="0.25">
      <c r="A139" t="s">
        <v>32</v>
      </c>
      <c r="B139">
        <v>16</v>
      </c>
      <c r="C139" s="3">
        <f t="shared" si="23"/>
        <v>63.839999999999989</v>
      </c>
      <c r="D139" s="8">
        <f t="shared" si="24"/>
        <v>48.839999999999989</v>
      </c>
      <c r="E139" s="2">
        <f t="shared" si="27"/>
        <v>24.369999999999994</v>
      </c>
      <c r="F139" s="3">
        <f t="shared" si="25"/>
        <v>200</v>
      </c>
      <c r="G139" s="2">
        <f t="shared" si="26"/>
        <v>1.25</v>
      </c>
      <c r="H139" s="2">
        <f t="shared" si="22"/>
        <v>23.119999999999994</v>
      </c>
    </row>
    <row r="140" spans="1:8" x14ac:dyDescent="0.25">
      <c r="A140" t="s">
        <v>32</v>
      </c>
      <c r="B140">
        <v>17</v>
      </c>
      <c r="C140" s="3">
        <f t="shared" si="23"/>
        <v>63.839999999999989</v>
      </c>
      <c r="D140" s="8">
        <f t="shared" si="24"/>
        <v>48.839999999999989</v>
      </c>
      <c r="E140" s="2">
        <f t="shared" si="27"/>
        <v>24.369999999999994</v>
      </c>
      <c r="F140" s="3">
        <f t="shared" si="25"/>
        <v>200</v>
      </c>
      <c r="G140" s="2">
        <f t="shared" si="26"/>
        <v>1.25</v>
      </c>
      <c r="H140" s="2">
        <f t="shared" si="22"/>
        <v>23.119999999999994</v>
      </c>
    </row>
    <row r="141" spans="1:8" x14ac:dyDescent="0.25">
      <c r="A141" t="s">
        <v>32</v>
      </c>
      <c r="B141">
        <v>18</v>
      </c>
      <c r="C141" s="3">
        <f t="shared" si="23"/>
        <v>63.839999999999989</v>
      </c>
      <c r="D141" s="8">
        <f t="shared" si="24"/>
        <v>48.839999999999989</v>
      </c>
      <c r="E141" s="2">
        <f t="shared" si="27"/>
        <v>24.369999999999994</v>
      </c>
      <c r="F141" s="3">
        <f t="shared" si="25"/>
        <v>200</v>
      </c>
      <c r="G141" s="2">
        <f t="shared" si="26"/>
        <v>1.25</v>
      </c>
      <c r="H141" s="2">
        <f t="shared" si="22"/>
        <v>23.119999999999994</v>
      </c>
    </row>
    <row r="142" spans="1:8" x14ac:dyDescent="0.25">
      <c r="A142" t="s">
        <v>32</v>
      </c>
      <c r="B142">
        <v>19</v>
      </c>
      <c r="C142" s="3">
        <f t="shared" si="23"/>
        <v>63.839999999999989</v>
      </c>
      <c r="D142" s="8">
        <f t="shared" si="24"/>
        <v>48.839999999999989</v>
      </c>
      <c r="E142" s="2">
        <f t="shared" si="27"/>
        <v>24.369999999999994</v>
      </c>
      <c r="F142" s="3">
        <f t="shared" si="25"/>
        <v>200</v>
      </c>
      <c r="G142" s="2">
        <f t="shared" si="26"/>
        <v>1.25</v>
      </c>
      <c r="H142" s="2">
        <f t="shared" si="22"/>
        <v>23.119999999999994</v>
      </c>
    </row>
    <row r="143" spans="1:8" x14ac:dyDescent="0.25">
      <c r="A143" t="s">
        <v>32</v>
      </c>
      <c r="B143">
        <v>20</v>
      </c>
      <c r="C143" s="3">
        <f t="shared" si="23"/>
        <v>63.839999999999989</v>
      </c>
      <c r="D143" s="8">
        <f t="shared" si="24"/>
        <v>48.839999999999989</v>
      </c>
      <c r="E143" s="2">
        <f t="shared" si="27"/>
        <v>24.369999999999994</v>
      </c>
      <c r="F143" s="3">
        <f t="shared" si="25"/>
        <v>200</v>
      </c>
      <c r="G143" s="2">
        <f t="shared" si="26"/>
        <v>1.25</v>
      </c>
      <c r="H143" s="2">
        <f t="shared" si="22"/>
        <v>23.119999999999994</v>
      </c>
    </row>
    <row r="144" spans="1:8" x14ac:dyDescent="0.25">
      <c r="A144" t="s">
        <v>32</v>
      </c>
      <c r="B144">
        <v>21</v>
      </c>
      <c r="C144" s="3">
        <f t="shared" si="23"/>
        <v>63.839999999999989</v>
      </c>
      <c r="D144" s="8">
        <f t="shared" si="24"/>
        <v>48.839999999999989</v>
      </c>
      <c r="E144" s="2">
        <f t="shared" si="27"/>
        <v>24.369999999999994</v>
      </c>
      <c r="F144" s="3">
        <f t="shared" si="25"/>
        <v>200</v>
      </c>
      <c r="G144" s="2">
        <f t="shared" si="26"/>
        <v>1.25</v>
      </c>
      <c r="H144" s="2">
        <f t="shared" si="22"/>
        <v>23.119999999999994</v>
      </c>
    </row>
    <row r="145" spans="1:8" x14ac:dyDescent="0.25">
      <c r="A145" t="s">
        <v>32</v>
      </c>
      <c r="B145">
        <v>22</v>
      </c>
      <c r="C145" s="3">
        <f t="shared" si="23"/>
        <v>63.839999999999989</v>
      </c>
      <c r="D145" s="8">
        <f t="shared" si="24"/>
        <v>48.839999999999989</v>
      </c>
      <c r="E145" s="2">
        <f t="shared" si="27"/>
        <v>24.369999999999994</v>
      </c>
      <c r="F145" s="3">
        <f t="shared" si="25"/>
        <v>200</v>
      </c>
      <c r="G145" s="2">
        <f t="shared" si="26"/>
        <v>1.25</v>
      </c>
      <c r="H145" s="2">
        <f t="shared" si="22"/>
        <v>23.119999999999994</v>
      </c>
    </row>
    <row r="146" spans="1:8" x14ac:dyDescent="0.25">
      <c r="A146" t="s">
        <v>32</v>
      </c>
      <c r="B146">
        <v>23</v>
      </c>
      <c r="C146" s="3">
        <f t="shared" si="23"/>
        <v>63.839999999999989</v>
      </c>
      <c r="D146" s="8">
        <f t="shared" si="24"/>
        <v>48.839999999999989</v>
      </c>
      <c r="E146" s="2">
        <f t="shared" si="27"/>
        <v>24.369999999999994</v>
      </c>
      <c r="F146" s="3">
        <f t="shared" si="25"/>
        <v>200</v>
      </c>
      <c r="G146" s="2">
        <f t="shared" si="26"/>
        <v>1.25</v>
      </c>
      <c r="H146" s="2">
        <f t="shared" ref="H146:H209" si="28">IF(E146&gt;0,E146-G146-(F146-F145),0)</f>
        <v>23.119999999999994</v>
      </c>
    </row>
    <row r="147" spans="1:8" x14ac:dyDescent="0.25">
      <c r="A147" t="s">
        <v>32</v>
      </c>
      <c r="B147">
        <v>24</v>
      </c>
      <c r="C147" s="3">
        <f t="shared" si="23"/>
        <v>63.839999999999989</v>
      </c>
      <c r="D147" s="8">
        <f t="shared" si="24"/>
        <v>48.839999999999989</v>
      </c>
      <c r="E147" s="2">
        <f t="shared" si="27"/>
        <v>24.369999999999994</v>
      </c>
      <c r="F147" s="3">
        <f t="shared" si="25"/>
        <v>200</v>
      </c>
      <c r="G147" s="2">
        <f t="shared" si="26"/>
        <v>1.25</v>
      </c>
      <c r="H147" s="2">
        <f t="shared" si="28"/>
        <v>23.119999999999994</v>
      </c>
    </row>
    <row r="148" spans="1:8" x14ac:dyDescent="0.25">
      <c r="A148" t="s">
        <v>32</v>
      </c>
      <c r="B148">
        <v>25</v>
      </c>
      <c r="C148" s="3">
        <f t="shared" si="23"/>
        <v>63.839999999999989</v>
      </c>
      <c r="D148" s="8">
        <f t="shared" si="24"/>
        <v>48.839999999999989</v>
      </c>
      <c r="E148" s="2">
        <f t="shared" si="27"/>
        <v>24.369999999999994</v>
      </c>
      <c r="F148" s="3">
        <f t="shared" si="25"/>
        <v>200</v>
      </c>
      <c r="G148" s="2">
        <f t="shared" si="26"/>
        <v>1.25</v>
      </c>
      <c r="H148" s="2">
        <f t="shared" si="28"/>
        <v>23.119999999999994</v>
      </c>
    </row>
    <row r="149" spans="1:8" x14ac:dyDescent="0.25">
      <c r="A149" t="s">
        <v>32</v>
      </c>
      <c r="B149">
        <v>26</v>
      </c>
      <c r="C149" s="3">
        <f t="shared" si="23"/>
        <v>63.839999999999989</v>
      </c>
      <c r="D149" s="8">
        <f t="shared" si="24"/>
        <v>48.839999999999989</v>
      </c>
      <c r="E149" s="2">
        <f t="shared" si="27"/>
        <v>24.369999999999994</v>
      </c>
      <c r="F149" s="3">
        <f t="shared" si="25"/>
        <v>200</v>
      </c>
      <c r="G149" s="2">
        <f t="shared" si="26"/>
        <v>1.25</v>
      </c>
      <c r="H149" s="2">
        <f t="shared" si="28"/>
        <v>23.119999999999994</v>
      </c>
    </row>
    <row r="150" spans="1:8" x14ac:dyDescent="0.25">
      <c r="A150" t="s">
        <v>32</v>
      </c>
      <c r="B150">
        <v>27</v>
      </c>
      <c r="C150" s="3">
        <f t="shared" si="23"/>
        <v>63.839999999999989</v>
      </c>
      <c r="D150" s="8">
        <f t="shared" si="24"/>
        <v>48.839999999999989</v>
      </c>
      <c r="E150" s="2">
        <f t="shared" si="27"/>
        <v>24.369999999999994</v>
      </c>
      <c r="F150" s="3">
        <f t="shared" si="25"/>
        <v>200</v>
      </c>
      <c r="G150" s="2">
        <f t="shared" si="26"/>
        <v>1.25</v>
      </c>
      <c r="H150" s="2">
        <f t="shared" si="28"/>
        <v>23.119999999999994</v>
      </c>
    </row>
    <row r="151" spans="1:8" x14ac:dyDescent="0.25">
      <c r="A151" t="s">
        <v>32</v>
      </c>
      <c r="B151">
        <v>28</v>
      </c>
      <c r="C151" s="3">
        <f t="shared" si="23"/>
        <v>63.839999999999989</v>
      </c>
      <c r="D151" s="8">
        <f t="shared" si="24"/>
        <v>48.839999999999989</v>
      </c>
      <c r="E151" s="2">
        <f t="shared" si="27"/>
        <v>24.369999999999994</v>
      </c>
      <c r="F151" s="3">
        <f t="shared" si="25"/>
        <v>200</v>
      </c>
      <c r="G151" s="2">
        <f t="shared" si="26"/>
        <v>1.25</v>
      </c>
      <c r="H151" s="2">
        <f t="shared" si="28"/>
        <v>23.119999999999994</v>
      </c>
    </row>
    <row r="152" spans="1:8" x14ac:dyDescent="0.25">
      <c r="A152" t="s">
        <v>32</v>
      </c>
      <c r="B152">
        <v>29</v>
      </c>
      <c r="C152" s="3">
        <f t="shared" si="23"/>
        <v>63.839999999999989</v>
      </c>
      <c r="D152" s="8">
        <f t="shared" si="24"/>
        <v>48.839999999999989</v>
      </c>
      <c r="E152" s="2">
        <f t="shared" si="27"/>
        <v>24.369999999999994</v>
      </c>
      <c r="F152" s="3">
        <f t="shared" si="25"/>
        <v>200</v>
      </c>
      <c r="G152" s="2">
        <f t="shared" si="26"/>
        <v>1.25</v>
      </c>
      <c r="H152" s="2">
        <f t="shared" si="28"/>
        <v>23.119999999999994</v>
      </c>
    </row>
    <row r="153" spans="1:8" x14ac:dyDescent="0.25">
      <c r="A153" t="s">
        <v>32</v>
      </c>
      <c r="B153">
        <v>30</v>
      </c>
      <c r="C153" s="3">
        <f t="shared" si="23"/>
        <v>63.839999999999989</v>
      </c>
      <c r="D153" s="8">
        <f t="shared" si="24"/>
        <v>48.839999999999989</v>
      </c>
      <c r="E153" s="2">
        <f t="shared" si="27"/>
        <v>24.369999999999994</v>
      </c>
      <c r="F153" s="3">
        <f t="shared" si="25"/>
        <v>200</v>
      </c>
      <c r="G153" s="2">
        <f t="shared" si="26"/>
        <v>1.25</v>
      </c>
      <c r="H153" s="2">
        <f t="shared" si="28"/>
        <v>23.119999999999994</v>
      </c>
    </row>
    <row r="154" spans="1:8" x14ac:dyDescent="0.25">
      <c r="A154" t="s">
        <v>32</v>
      </c>
      <c r="B154">
        <v>31</v>
      </c>
      <c r="C154" s="3">
        <f t="shared" si="23"/>
        <v>63.839999999999989</v>
      </c>
      <c r="D154" s="8">
        <f t="shared" si="24"/>
        <v>48.839999999999989</v>
      </c>
      <c r="E154" s="2">
        <f t="shared" si="27"/>
        <v>24.369999999999994</v>
      </c>
      <c r="F154" s="3">
        <f t="shared" si="25"/>
        <v>200</v>
      </c>
      <c r="G154" s="2">
        <f t="shared" si="26"/>
        <v>1.25</v>
      </c>
      <c r="H154" s="2">
        <f t="shared" si="28"/>
        <v>23.119999999999994</v>
      </c>
    </row>
    <row r="155" spans="1:8" x14ac:dyDescent="0.25">
      <c r="A155" t="s">
        <v>23</v>
      </c>
      <c r="B155">
        <v>1</v>
      </c>
      <c r="C155" s="3">
        <f t="shared" ref="C155:C184" si="29">SepSunHours*SolarMaxGenCap*SolarEfficiency</f>
        <v>41.723999999999997</v>
      </c>
      <c r="D155" s="8">
        <f t="shared" ref="D155:D184" si="30">(SepSunHours*(SolarMaxGenCap*SolarEfficiency))-SepPowerUse</f>
        <v>29.723999999999997</v>
      </c>
      <c r="E155" s="2">
        <f t="shared" si="27"/>
        <v>14.811999999999998</v>
      </c>
      <c r="F155" s="3">
        <f t="shared" ref="F155:F184" si="31">IF((F154*(1-SepDailyLossPct)-SepDailyLossAbs)+E155&gt;MaxPowerStore,MaxPowerStore,(IF(F154+E155&gt;0.1,(F154*(1-SepDailyLossPct)-SepDailyLossAbs)+ (IF(D155&lt;0,D155,E155)),0)))</f>
        <v>200</v>
      </c>
      <c r="G155" s="2">
        <f t="shared" ref="G155:G184" si="32">IF(F155&gt;0,SepDailyLossAbs+(F154*SepDailyLossPct),0)</f>
        <v>1.25</v>
      </c>
      <c r="H155" s="2">
        <f t="shared" si="28"/>
        <v>13.561999999999998</v>
      </c>
    </row>
    <row r="156" spans="1:8" x14ac:dyDescent="0.25">
      <c r="A156" t="s">
        <v>23</v>
      </c>
      <c r="B156">
        <v>2</v>
      </c>
      <c r="C156" s="3">
        <f t="shared" si="29"/>
        <v>41.723999999999997</v>
      </c>
      <c r="D156" s="8">
        <f t="shared" si="30"/>
        <v>29.723999999999997</v>
      </c>
      <c r="E156" s="2">
        <f t="shared" si="27"/>
        <v>14.811999999999998</v>
      </c>
      <c r="F156" s="3">
        <f t="shared" si="31"/>
        <v>200</v>
      </c>
      <c r="G156" s="2">
        <f t="shared" si="32"/>
        <v>1.25</v>
      </c>
      <c r="H156" s="2">
        <f t="shared" si="28"/>
        <v>13.561999999999998</v>
      </c>
    </row>
    <row r="157" spans="1:8" x14ac:dyDescent="0.25">
      <c r="A157" t="s">
        <v>23</v>
      </c>
      <c r="B157">
        <v>3</v>
      </c>
      <c r="C157" s="3">
        <f t="shared" si="29"/>
        <v>41.723999999999997</v>
      </c>
      <c r="D157" s="8">
        <f t="shared" si="30"/>
        <v>29.723999999999997</v>
      </c>
      <c r="E157" s="2">
        <f t="shared" si="27"/>
        <v>14.811999999999998</v>
      </c>
      <c r="F157" s="3">
        <f t="shared" si="31"/>
        <v>200</v>
      </c>
      <c r="G157" s="2">
        <f t="shared" si="32"/>
        <v>1.25</v>
      </c>
      <c r="H157" s="2">
        <f t="shared" si="28"/>
        <v>13.561999999999998</v>
      </c>
    </row>
    <row r="158" spans="1:8" x14ac:dyDescent="0.25">
      <c r="A158" t="s">
        <v>23</v>
      </c>
      <c r="B158">
        <v>4</v>
      </c>
      <c r="C158" s="3">
        <f t="shared" si="29"/>
        <v>41.723999999999997</v>
      </c>
      <c r="D158" s="8">
        <f t="shared" si="30"/>
        <v>29.723999999999997</v>
      </c>
      <c r="E158" s="2">
        <f t="shared" si="27"/>
        <v>14.811999999999998</v>
      </c>
      <c r="F158" s="3">
        <f t="shared" si="31"/>
        <v>200</v>
      </c>
      <c r="G158" s="2">
        <f t="shared" si="32"/>
        <v>1.25</v>
      </c>
      <c r="H158" s="2">
        <f t="shared" si="28"/>
        <v>13.561999999999998</v>
      </c>
    </row>
    <row r="159" spans="1:8" x14ac:dyDescent="0.25">
      <c r="A159" t="s">
        <v>23</v>
      </c>
      <c r="B159">
        <v>5</v>
      </c>
      <c r="C159" s="3">
        <f t="shared" si="29"/>
        <v>41.723999999999997</v>
      </c>
      <c r="D159" s="8">
        <f t="shared" si="30"/>
        <v>29.723999999999997</v>
      </c>
      <c r="E159" s="2">
        <f t="shared" si="27"/>
        <v>14.811999999999998</v>
      </c>
      <c r="F159" s="3">
        <f t="shared" si="31"/>
        <v>200</v>
      </c>
      <c r="G159" s="2">
        <f t="shared" si="32"/>
        <v>1.25</v>
      </c>
      <c r="H159" s="2">
        <f t="shared" si="28"/>
        <v>13.561999999999998</v>
      </c>
    </row>
    <row r="160" spans="1:8" x14ac:dyDescent="0.25">
      <c r="A160" t="s">
        <v>23</v>
      </c>
      <c r="B160">
        <v>6</v>
      </c>
      <c r="C160" s="3">
        <f t="shared" si="29"/>
        <v>41.723999999999997</v>
      </c>
      <c r="D160" s="8">
        <f t="shared" si="30"/>
        <v>29.723999999999997</v>
      </c>
      <c r="E160" s="2">
        <f t="shared" si="27"/>
        <v>14.811999999999998</v>
      </c>
      <c r="F160" s="3">
        <f t="shared" si="31"/>
        <v>200</v>
      </c>
      <c r="G160" s="2">
        <f t="shared" si="32"/>
        <v>1.25</v>
      </c>
      <c r="H160" s="2">
        <f t="shared" si="28"/>
        <v>13.561999999999998</v>
      </c>
    </row>
    <row r="161" spans="1:8" x14ac:dyDescent="0.25">
      <c r="A161" t="s">
        <v>23</v>
      </c>
      <c r="B161">
        <v>7</v>
      </c>
      <c r="C161" s="3">
        <f t="shared" si="29"/>
        <v>41.723999999999997</v>
      </c>
      <c r="D161" s="8">
        <f t="shared" si="30"/>
        <v>29.723999999999997</v>
      </c>
      <c r="E161" s="2">
        <f t="shared" si="27"/>
        <v>14.811999999999998</v>
      </c>
      <c r="F161" s="3">
        <f t="shared" si="31"/>
        <v>200</v>
      </c>
      <c r="G161" s="2">
        <f t="shared" si="32"/>
        <v>1.25</v>
      </c>
      <c r="H161" s="2">
        <f t="shared" si="28"/>
        <v>13.561999999999998</v>
      </c>
    </row>
    <row r="162" spans="1:8" x14ac:dyDescent="0.25">
      <c r="A162" t="s">
        <v>23</v>
      </c>
      <c r="B162">
        <v>8</v>
      </c>
      <c r="C162" s="3">
        <f t="shared" si="29"/>
        <v>41.723999999999997</v>
      </c>
      <c r="D162" s="8">
        <f t="shared" si="30"/>
        <v>29.723999999999997</v>
      </c>
      <c r="E162" s="2">
        <f t="shared" si="27"/>
        <v>14.811999999999998</v>
      </c>
      <c r="F162" s="3">
        <f t="shared" si="31"/>
        <v>200</v>
      </c>
      <c r="G162" s="2">
        <f t="shared" si="32"/>
        <v>1.25</v>
      </c>
      <c r="H162" s="2">
        <f t="shared" si="28"/>
        <v>13.561999999999998</v>
      </c>
    </row>
    <row r="163" spans="1:8" x14ac:dyDescent="0.25">
      <c r="A163" t="s">
        <v>23</v>
      </c>
      <c r="B163">
        <v>9</v>
      </c>
      <c r="C163" s="3">
        <f t="shared" si="29"/>
        <v>41.723999999999997</v>
      </c>
      <c r="D163" s="8">
        <f t="shared" si="30"/>
        <v>29.723999999999997</v>
      </c>
      <c r="E163" s="2">
        <f t="shared" si="27"/>
        <v>14.811999999999998</v>
      </c>
      <c r="F163" s="3">
        <f t="shared" si="31"/>
        <v>200</v>
      </c>
      <c r="G163" s="2">
        <f t="shared" si="32"/>
        <v>1.25</v>
      </c>
      <c r="H163" s="2">
        <f t="shared" si="28"/>
        <v>13.561999999999998</v>
      </c>
    </row>
    <row r="164" spans="1:8" x14ac:dyDescent="0.25">
      <c r="A164" t="s">
        <v>23</v>
      </c>
      <c r="B164">
        <v>10</v>
      </c>
      <c r="C164" s="3">
        <f t="shared" si="29"/>
        <v>41.723999999999997</v>
      </c>
      <c r="D164" s="8">
        <f t="shared" si="30"/>
        <v>29.723999999999997</v>
      </c>
      <c r="E164" s="2">
        <f t="shared" si="27"/>
        <v>14.811999999999998</v>
      </c>
      <c r="F164" s="3">
        <f t="shared" si="31"/>
        <v>200</v>
      </c>
      <c r="G164" s="2">
        <f t="shared" si="32"/>
        <v>1.25</v>
      </c>
      <c r="H164" s="2">
        <f t="shared" si="28"/>
        <v>13.561999999999998</v>
      </c>
    </row>
    <row r="165" spans="1:8" x14ac:dyDescent="0.25">
      <c r="A165" t="s">
        <v>23</v>
      </c>
      <c r="B165">
        <v>11</v>
      </c>
      <c r="C165" s="3">
        <f t="shared" si="29"/>
        <v>41.723999999999997</v>
      </c>
      <c r="D165" s="8">
        <f t="shared" si="30"/>
        <v>29.723999999999997</v>
      </c>
      <c r="E165" s="2">
        <f t="shared" si="27"/>
        <v>14.811999999999998</v>
      </c>
      <c r="F165" s="3">
        <f t="shared" si="31"/>
        <v>200</v>
      </c>
      <c r="G165" s="2">
        <f t="shared" si="32"/>
        <v>1.25</v>
      </c>
      <c r="H165" s="2">
        <f t="shared" si="28"/>
        <v>13.561999999999998</v>
      </c>
    </row>
    <row r="166" spans="1:8" x14ac:dyDescent="0.25">
      <c r="A166" t="s">
        <v>23</v>
      </c>
      <c r="B166">
        <v>12</v>
      </c>
      <c r="C166" s="3">
        <f t="shared" si="29"/>
        <v>41.723999999999997</v>
      </c>
      <c r="D166" s="8">
        <f t="shared" si="30"/>
        <v>29.723999999999997</v>
      </c>
      <c r="E166" s="2">
        <f t="shared" si="27"/>
        <v>14.811999999999998</v>
      </c>
      <c r="F166" s="3">
        <f t="shared" si="31"/>
        <v>200</v>
      </c>
      <c r="G166" s="2">
        <f t="shared" si="32"/>
        <v>1.25</v>
      </c>
      <c r="H166" s="2">
        <f t="shared" si="28"/>
        <v>13.561999999999998</v>
      </c>
    </row>
    <row r="167" spans="1:8" x14ac:dyDescent="0.25">
      <c r="A167" t="s">
        <v>23</v>
      </c>
      <c r="B167">
        <v>13</v>
      </c>
      <c r="C167" s="3">
        <f t="shared" si="29"/>
        <v>41.723999999999997</v>
      </c>
      <c r="D167" s="8">
        <f t="shared" si="30"/>
        <v>29.723999999999997</v>
      </c>
      <c r="E167" s="2">
        <f t="shared" si="27"/>
        <v>14.811999999999998</v>
      </c>
      <c r="F167" s="3">
        <f t="shared" si="31"/>
        <v>200</v>
      </c>
      <c r="G167" s="2">
        <f t="shared" si="32"/>
        <v>1.25</v>
      </c>
      <c r="H167" s="2">
        <f t="shared" si="28"/>
        <v>13.561999999999998</v>
      </c>
    </row>
    <row r="168" spans="1:8" x14ac:dyDescent="0.25">
      <c r="A168" t="s">
        <v>23</v>
      </c>
      <c r="B168">
        <v>14</v>
      </c>
      <c r="C168" s="3">
        <f t="shared" si="29"/>
        <v>41.723999999999997</v>
      </c>
      <c r="D168" s="8">
        <f t="shared" si="30"/>
        <v>29.723999999999997</v>
      </c>
      <c r="E168" s="2">
        <f t="shared" si="27"/>
        <v>14.811999999999998</v>
      </c>
      <c r="F168" s="3">
        <f t="shared" si="31"/>
        <v>200</v>
      </c>
      <c r="G168" s="2">
        <f t="shared" si="32"/>
        <v>1.25</v>
      </c>
      <c r="H168" s="2">
        <f t="shared" si="28"/>
        <v>13.561999999999998</v>
      </c>
    </row>
    <row r="169" spans="1:8" x14ac:dyDescent="0.25">
      <c r="A169" t="s">
        <v>23</v>
      </c>
      <c r="B169">
        <v>15</v>
      </c>
      <c r="C169" s="3">
        <f t="shared" si="29"/>
        <v>41.723999999999997</v>
      </c>
      <c r="D169" s="8">
        <f t="shared" si="30"/>
        <v>29.723999999999997</v>
      </c>
      <c r="E169" s="2">
        <f t="shared" si="27"/>
        <v>14.811999999999998</v>
      </c>
      <c r="F169" s="3">
        <f t="shared" si="31"/>
        <v>200</v>
      </c>
      <c r="G169" s="2">
        <f t="shared" si="32"/>
        <v>1.25</v>
      </c>
      <c r="H169" s="2">
        <f t="shared" si="28"/>
        <v>13.561999999999998</v>
      </c>
    </row>
    <row r="170" spans="1:8" x14ac:dyDescent="0.25">
      <c r="A170" t="s">
        <v>23</v>
      </c>
      <c r="B170">
        <v>16</v>
      </c>
      <c r="C170" s="3">
        <f t="shared" si="29"/>
        <v>41.723999999999997</v>
      </c>
      <c r="D170" s="8">
        <f t="shared" si="30"/>
        <v>29.723999999999997</v>
      </c>
      <c r="E170" s="2">
        <f t="shared" si="27"/>
        <v>14.811999999999998</v>
      </c>
      <c r="F170" s="3">
        <f t="shared" si="31"/>
        <v>200</v>
      </c>
      <c r="G170" s="2">
        <f t="shared" si="32"/>
        <v>1.25</v>
      </c>
      <c r="H170" s="2">
        <f t="shared" si="28"/>
        <v>13.561999999999998</v>
      </c>
    </row>
    <row r="171" spans="1:8" x14ac:dyDescent="0.25">
      <c r="A171" t="s">
        <v>23</v>
      </c>
      <c r="B171">
        <v>17</v>
      </c>
      <c r="C171" s="3">
        <f t="shared" si="29"/>
        <v>41.723999999999997</v>
      </c>
      <c r="D171" s="8">
        <f t="shared" si="30"/>
        <v>29.723999999999997</v>
      </c>
      <c r="E171" s="2">
        <f t="shared" si="27"/>
        <v>14.811999999999998</v>
      </c>
      <c r="F171" s="3">
        <f t="shared" si="31"/>
        <v>200</v>
      </c>
      <c r="G171" s="2">
        <f t="shared" si="32"/>
        <v>1.25</v>
      </c>
      <c r="H171" s="2">
        <f t="shared" si="28"/>
        <v>13.561999999999998</v>
      </c>
    </row>
    <row r="172" spans="1:8" x14ac:dyDescent="0.25">
      <c r="A172" t="s">
        <v>23</v>
      </c>
      <c r="B172">
        <v>18</v>
      </c>
      <c r="C172" s="3">
        <f t="shared" si="29"/>
        <v>41.723999999999997</v>
      </c>
      <c r="D172" s="8">
        <f t="shared" si="30"/>
        <v>29.723999999999997</v>
      </c>
      <c r="E172" s="2">
        <f t="shared" si="27"/>
        <v>14.811999999999998</v>
      </c>
      <c r="F172" s="3">
        <f t="shared" si="31"/>
        <v>200</v>
      </c>
      <c r="G172" s="2">
        <f t="shared" si="32"/>
        <v>1.25</v>
      </c>
      <c r="H172" s="2">
        <f t="shared" si="28"/>
        <v>13.561999999999998</v>
      </c>
    </row>
    <row r="173" spans="1:8" x14ac:dyDescent="0.25">
      <c r="A173" t="s">
        <v>23</v>
      </c>
      <c r="B173">
        <v>19</v>
      </c>
      <c r="C173" s="3">
        <f t="shared" si="29"/>
        <v>41.723999999999997</v>
      </c>
      <c r="D173" s="8">
        <f t="shared" si="30"/>
        <v>29.723999999999997</v>
      </c>
      <c r="E173" s="2">
        <f t="shared" si="27"/>
        <v>14.811999999999998</v>
      </c>
      <c r="F173" s="3">
        <f t="shared" si="31"/>
        <v>200</v>
      </c>
      <c r="G173" s="2">
        <f t="shared" si="32"/>
        <v>1.25</v>
      </c>
      <c r="H173" s="2">
        <f t="shared" si="28"/>
        <v>13.561999999999998</v>
      </c>
    </row>
    <row r="174" spans="1:8" x14ac:dyDescent="0.25">
      <c r="A174" t="s">
        <v>23</v>
      </c>
      <c r="B174">
        <v>20</v>
      </c>
      <c r="C174" s="3">
        <f t="shared" si="29"/>
        <v>41.723999999999997</v>
      </c>
      <c r="D174" s="8">
        <f t="shared" si="30"/>
        <v>29.723999999999997</v>
      </c>
      <c r="E174" s="2">
        <f t="shared" si="27"/>
        <v>14.811999999999998</v>
      </c>
      <c r="F174" s="3">
        <f t="shared" si="31"/>
        <v>200</v>
      </c>
      <c r="G174" s="2">
        <f t="shared" si="32"/>
        <v>1.25</v>
      </c>
      <c r="H174" s="2">
        <f t="shared" si="28"/>
        <v>13.561999999999998</v>
      </c>
    </row>
    <row r="175" spans="1:8" x14ac:dyDescent="0.25">
      <c r="A175" t="s">
        <v>23</v>
      </c>
      <c r="B175">
        <v>21</v>
      </c>
      <c r="C175" s="3">
        <f t="shared" si="29"/>
        <v>41.723999999999997</v>
      </c>
      <c r="D175" s="8">
        <f t="shared" si="30"/>
        <v>29.723999999999997</v>
      </c>
      <c r="E175" s="2">
        <f t="shared" si="27"/>
        <v>14.811999999999998</v>
      </c>
      <c r="F175" s="3">
        <f t="shared" si="31"/>
        <v>200</v>
      </c>
      <c r="G175" s="2">
        <f t="shared" si="32"/>
        <v>1.25</v>
      </c>
      <c r="H175" s="2">
        <f t="shared" si="28"/>
        <v>13.561999999999998</v>
      </c>
    </row>
    <row r="176" spans="1:8" x14ac:dyDescent="0.25">
      <c r="A176" t="s">
        <v>23</v>
      </c>
      <c r="B176">
        <v>22</v>
      </c>
      <c r="C176" s="3">
        <f t="shared" si="29"/>
        <v>41.723999999999997</v>
      </c>
      <c r="D176" s="8">
        <f t="shared" si="30"/>
        <v>29.723999999999997</v>
      </c>
      <c r="E176" s="2">
        <f t="shared" si="27"/>
        <v>14.811999999999998</v>
      </c>
      <c r="F176" s="3">
        <f t="shared" si="31"/>
        <v>200</v>
      </c>
      <c r="G176" s="2">
        <f t="shared" si="32"/>
        <v>1.25</v>
      </c>
      <c r="H176" s="2">
        <f t="shared" si="28"/>
        <v>13.561999999999998</v>
      </c>
    </row>
    <row r="177" spans="1:8" x14ac:dyDescent="0.25">
      <c r="A177" t="s">
        <v>23</v>
      </c>
      <c r="B177">
        <v>23</v>
      </c>
      <c r="C177" s="3">
        <f t="shared" si="29"/>
        <v>41.723999999999997</v>
      </c>
      <c r="D177" s="8">
        <f t="shared" si="30"/>
        <v>29.723999999999997</v>
      </c>
      <c r="E177" s="2">
        <f t="shared" si="27"/>
        <v>14.811999999999998</v>
      </c>
      <c r="F177" s="3">
        <f t="shared" si="31"/>
        <v>200</v>
      </c>
      <c r="G177" s="2">
        <f t="shared" si="32"/>
        <v>1.25</v>
      </c>
      <c r="H177" s="2">
        <f t="shared" si="28"/>
        <v>13.561999999999998</v>
      </c>
    </row>
    <row r="178" spans="1:8" x14ac:dyDescent="0.25">
      <c r="A178" t="s">
        <v>23</v>
      </c>
      <c r="B178">
        <v>24</v>
      </c>
      <c r="C178" s="3">
        <f t="shared" si="29"/>
        <v>41.723999999999997</v>
      </c>
      <c r="D178" s="8">
        <f t="shared" si="30"/>
        <v>29.723999999999997</v>
      </c>
      <c r="E178" s="2">
        <f t="shared" si="27"/>
        <v>14.811999999999998</v>
      </c>
      <c r="F178" s="3">
        <f t="shared" si="31"/>
        <v>200</v>
      </c>
      <c r="G178" s="2">
        <f t="shared" si="32"/>
        <v>1.25</v>
      </c>
      <c r="H178" s="2">
        <f t="shared" si="28"/>
        <v>13.561999999999998</v>
      </c>
    </row>
    <row r="179" spans="1:8" x14ac:dyDescent="0.25">
      <c r="A179" t="s">
        <v>23</v>
      </c>
      <c r="B179">
        <v>25</v>
      </c>
      <c r="C179" s="3">
        <f t="shared" si="29"/>
        <v>41.723999999999997</v>
      </c>
      <c r="D179" s="8">
        <f t="shared" si="30"/>
        <v>29.723999999999997</v>
      </c>
      <c r="E179" s="2">
        <f t="shared" si="27"/>
        <v>14.811999999999998</v>
      </c>
      <c r="F179" s="3">
        <f t="shared" si="31"/>
        <v>200</v>
      </c>
      <c r="G179" s="2">
        <f t="shared" si="32"/>
        <v>1.25</v>
      </c>
      <c r="H179" s="2">
        <f t="shared" si="28"/>
        <v>13.561999999999998</v>
      </c>
    </row>
    <row r="180" spans="1:8" x14ac:dyDescent="0.25">
      <c r="A180" t="s">
        <v>23</v>
      </c>
      <c r="B180">
        <v>26</v>
      </c>
      <c r="C180" s="3">
        <f t="shared" si="29"/>
        <v>41.723999999999997</v>
      </c>
      <c r="D180" s="8">
        <f t="shared" si="30"/>
        <v>29.723999999999997</v>
      </c>
      <c r="E180" s="2">
        <f t="shared" si="27"/>
        <v>14.811999999999998</v>
      </c>
      <c r="F180" s="3">
        <f t="shared" si="31"/>
        <v>200</v>
      </c>
      <c r="G180" s="2">
        <f t="shared" si="32"/>
        <v>1.25</v>
      </c>
      <c r="H180" s="2">
        <f t="shared" si="28"/>
        <v>13.561999999999998</v>
      </c>
    </row>
    <row r="181" spans="1:8" x14ac:dyDescent="0.25">
      <c r="A181" t="s">
        <v>23</v>
      </c>
      <c r="B181">
        <v>27</v>
      </c>
      <c r="C181" s="3">
        <f t="shared" si="29"/>
        <v>41.723999999999997</v>
      </c>
      <c r="D181" s="8">
        <f t="shared" si="30"/>
        <v>29.723999999999997</v>
      </c>
      <c r="E181" s="2">
        <f t="shared" si="27"/>
        <v>14.811999999999998</v>
      </c>
      <c r="F181" s="3">
        <f t="shared" si="31"/>
        <v>200</v>
      </c>
      <c r="G181" s="2">
        <f t="shared" si="32"/>
        <v>1.25</v>
      </c>
      <c r="H181" s="2">
        <f t="shared" si="28"/>
        <v>13.561999999999998</v>
      </c>
    </row>
    <row r="182" spans="1:8" x14ac:dyDescent="0.25">
      <c r="A182" t="s">
        <v>23</v>
      </c>
      <c r="B182">
        <v>28</v>
      </c>
      <c r="C182" s="3">
        <f t="shared" si="29"/>
        <v>41.723999999999997</v>
      </c>
      <c r="D182" s="8">
        <f t="shared" si="30"/>
        <v>29.723999999999997</v>
      </c>
      <c r="E182" s="2">
        <f t="shared" si="27"/>
        <v>14.811999999999998</v>
      </c>
      <c r="F182" s="3">
        <f t="shared" si="31"/>
        <v>200</v>
      </c>
      <c r="G182" s="2">
        <f t="shared" si="32"/>
        <v>1.25</v>
      </c>
      <c r="H182" s="2">
        <f t="shared" si="28"/>
        <v>13.561999999999998</v>
      </c>
    </row>
    <row r="183" spans="1:8" x14ac:dyDescent="0.25">
      <c r="A183" t="s">
        <v>23</v>
      </c>
      <c r="B183">
        <v>29</v>
      </c>
      <c r="C183" s="3">
        <f t="shared" si="29"/>
        <v>41.723999999999997</v>
      </c>
      <c r="D183" s="8">
        <f t="shared" si="30"/>
        <v>29.723999999999997</v>
      </c>
      <c r="E183" s="2">
        <f t="shared" si="27"/>
        <v>14.811999999999998</v>
      </c>
      <c r="F183" s="3">
        <f t="shared" si="31"/>
        <v>200</v>
      </c>
      <c r="G183" s="2">
        <f t="shared" si="32"/>
        <v>1.25</v>
      </c>
      <c r="H183" s="2">
        <f t="shared" si="28"/>
        <v>13.561999999999998</v>
      </c>
    </row>
    <row r="184" spans="1:8" x14ac:dyDescent="0.25">
      <c r="A184" t="s">
        <v>23</v>
      </c>
      <c r="B184">
        <v>30</v>
      </c>
      <c r="C184" s="3">
        <f t="shared" si="29"/>
        <v>41.723999999999997</v>
      </c>
      <c r="D184" s="8">
        <f t="shared" si="30"/>
        <v>29.723999999999997</v>
      </c>
      <c r="E184" s="2">
        <f t="shared" si="27"/>
        <v>14.811999999999998</v>
      </c>
      <c r="F184" s="3">
        <f t="shared" si="31"/>
        <v>200</v>
      </c>
      <c r="G184" s="2">
        <f t="shared" si="32"/>
        <v>1.25</v>
      </c>
      <c r="H184" s="2">
        <f t="shared" si="28"/>
        <v>13.561999999999998</v>
      </c>
    </row>
    <row r="185" spans="1:8" x14ac:dyDescent="0.25">
      <c r="A185" t="s">
        <v>24</v>
      </c>
      <c r="B185">
        <v>1</v>
      </c>
      <c r="C185" s="3">
        <f t="shared" ref="C185:C215" si="33">OctSunHours*SolarMaxGenCap*SolarEfficiency</f>
        <v>25.536000000000001</v>
      </c>
      <c r="D185" s="8">
        <f t="shared" ref="D185:D215" si="34">(OctSunHours*(SolarMaxGenCap*SolarEfficiency))-OctPowerUse</f>
        <v>15.535999999999998</v>
      </c>
      <c r="E185" s="2">
        <f t="shared" si="27"/>
        <v>7.7179999999999991</v>
      </c>
      <c r="F185" s="3">
        <f t="shared" ref="F185:F215" si="35">IF((F184*(1-OctDailyLossPct)-OctDailyLossAbs)+E185&gt;MaxPowerStore,MaxPowerStore,(IF(F184+E185&gt;0.1,(F184*(1-OctDailyLossPct)-OctDailyLossAbs)+ (IF(D185&lt;0,D185,E185)),0)))</f>
        <v>200</v>
      </c>
      <c r="G185" s="2">
        <f t="shared" ref="G185:G215" si="36">IF(F185&gt;0,OctDailyLossAbs+(F184*OctDailyLossPct),0)</f>
        <v>1.25</v>
      </c>
      <c r="H185" s="2">
        <f t="shared" si="28"/>
        <v>6.4679999999999991</v>
      </c>
    </row>
    <row r="186" spans="1:8" x14ac:dyDescent="0.25">
      <c r="A186" t="s">
        <v>24</v>
      </c>
      <c r="B186">
        <v>2</v>
      </c>
      <c r="C186" s="3">
        <f t="shared" si="33"/>
        <v>25.536000000000001</v>
      </c>
      <c r="D186" s="8">
        <f t="shared" si="34"/>
        <v>15.535999999999998</v>
      </c>
      <c r="E186" s="2">
        <f t="shared" si="27"/>
        <v>7.7179999999999991</v>
      </c>
      <c r="F186" s="3">
        <f t="shared" si="35"/>
        <v>200</v>
      </c>
      <c r="G186" s="2">
        <f t="shared" si="36"/>
        <v>1.25</v>
      </c>
      <c r="H186" s="2">
        <f t="shared" si="28"/>
        <v>6.4679999999999991</v>
      </c>
    </row>
    <row r="187" spans="1:8" x14ac:dyDescent="0.25">
      <c r="A187" t="s">
        <v>24</v>
      </c>
      <c r="B187">
        <v>3</v>
      </c>
      <c r="C187" s="3">
        <f t="shared" si="33"/>
        <v>25.536000000000001</v>
      </c>
      <c r="D187" s="8">
        <f t="shared" si="34"/>
        <v>15.535999999999998</v>
      </c>
      <c r="E187" s="2">
        <f t="shared" si="27"/>
        <v>7.7179999999999991</v>
      </c>
      <c r="F187" s="3">
        <f t="shared" si="35"/>
        <v>200</v>
      </c>
      <c r="G187" s="2">
        <f t="shared" si="36"/>
        <v>1.25</v>
      </c>
      <c r="H187" s="2">
        <f t="shared" si="28"/>
        <v>6.4679999999999991</v>
      </c>
    </row>
    <row r="188" spans="1:8" x14ac:dyDescent="0.25">
      <c r="A188" t="s">
        <v>24</v>
      </c>
      <c r="B188">
        <v>4</v>
      </c>
      <c r="C188" s="3">
        <f t="shared" si="33"/>
        <v>25.536000000000001</v>
      </c>
      <c r="D188" s="8">
        <f t="shared" si="34"/>
        <v>15.535999999999998</v>
      </c>
      <c r="E188" s="2">
        <f t="shared" si="27"/>
        <v>7.7179999999999991</v>
      </c>
      <c r="F188" s="3">
        <f t="shared" si="35"/>
        <v>200</v>
      </c>
      <c r="G188" s="2">
        <f t="shared" si="36"/>
        <v>1.25</v>
      </c>
      <c r="H188" s="2">
        <f t="shared" si="28"/>
        <v>6.4679999999999991</v>
      </c>
    </row>
    <row r="189" spans="1:8" x14ac:dyDescent="0.25">
      <c r="A189" t="s">
        <v>24</v>
      </c>
      <c r="B189">
        <v>5</v>
      </c>
      <c r="C189" s="3">
        <f t="shared" si="33"/>
        <v>25.536000000000001</v>
      </c>
      <c r="D189" s="8">
        <f t="shared" si="34"/>
        <v>15.535999999999998</v>
      </c>
      <c r="E189" s="2">
        <f t="shared" si="27"/>
        <v>7.7179999999999991</v>
      </c>
      <c r="F189" s="3">
        <f t="shared" si="35"/>
        <v>200</v>
      </c>
      <c r="G189" s="2">
        <f t="shared" si="36"/>
        <v>1.25</v>
      </c>
      <c r="H189" s="2">
        <f t="shared" si="28"/>
        <v>6.4679999999999991</v>
      </c>
    </row>
    <row r="190" spans="1:8" x14ac:dyDescent="0.25">
      <c r="A190" t="s">
        <v>24</v>
      </c>
      <c r="B190">
        <v>6</v>
      </c>
      <c r="C190" s="3">
        <f t="shared" si="33"/>
        <v>25.536000000000001</v>
      </c>
      <c r="D190" s="8">
        <f t="shared" si="34"/>
        <v>15.535999999999998</v>
      </c>
      <c r="E190" s="2">
        <f t="shared" si="27"/>
        <v>7.7179999999999991</v>
      </c>
      <c r="F190" s="3">
        <f t="shared" si="35"/>
        <v>200</v>
      </c>
      <c r="G190" s="2">
        <f t="shared" si="36"/>
        <v>1.25</v>
      </c>
      <c r="H190" s="2">
        <f t="shared" si="28"/>
        <v>6.4679999999999991</v>
      </c>
    </row>
    <row r="191" spans="1:8" x14ac:dyDescent="0.25">
      <c r="A191" t="s">
        <v>24</v>
      </c>
      <c r="B191">
        <v>7</v>
      </c>
      <c r="C191" s="3">
        <f t="shared" si="33"/>
        <v>25.536000000000001</v>
      </c>
      <c r="D191" s="8">
        <f t="shared" si="34"/>
        <v>15.535999999999998</v>
      </c>
      <c r="E191" s="2">
        <f t="shared" si="27"/>
        <v>7.7179999999999991</v>
      </c>
      <c r="F191" s="3">
        <f t="shared" si="35"/>
        <v>200</v>
      </c>
      <c r="G191" s="2">
        <f t="shared" si="36"/>
        <v>1.25</v>
      </c>
      <c r="H191" s="2">
        <f t="shared" si="28"/>
        <v>6.4679999999999991</v>
      </c>
    </row>
    <row r="192" spans="1:8" x14ac:dyDescent="0.25">
      <c r="A192" t="s">
        <v>24</v>
      </c>
      <c r="B192">
        <v>8</v>
      </c>
      <c r="C192" s="3">
        <f t="shared" si="33"/>
        <v>25.536000000000001</v>
      </c>
      <c r="D192" s="8">
        <f t="shared" si="34"/>
        <v>15.535999999999998</v>
      </c>
      <c r="E192" s="2">
        <f t="shared" si="27"/>
        <v>7.7179999999999991</v>
      </c>
      <c r="F192" s="3">
        <f t="shared" si="35"/>
        <v>200</v>
      </c>
      <c r="G192" s="2">
        <f t="shared" si="36"/>
        <v>1.25</v>
      </c>
      <c r="H192" s="2">
        <f t="shared" si="28"/>
        <v>6.4679999999999991</v>
      </c>
    </row>
    <row r="193" spans="1:8" x14ac:dyDescent="0.25">
      <c r="A193" t="s">
        <v>24</v>
      </c>
      <c r="B193">
        <v>9</v>
      </c>
      <c r="C193" s="3">
        <f t="shared" si="33"/>
        <v>25.536000000000001</v>
      </c>
      <c r="D193" s="8">
        <f t="shared" si="34"/>
        <v>15.535999999999998</v>
      </c>
      <c r="E193" s="2">
        <f t="shared" si="27"/>
        <v>7.7179999999999991</v>
      </c>
      <c r="F193" s="3">
        <f t="shared" si="35"/>
        <v>200</v>
      </c>
      <c r="G193" s="2">
        <f t="shared" si="36"/>
        <v>1.25</v>
      </c>
      <c r="H193" s="2">
        <f t="shared" si="28"/>
        <v>6.4679999999999991</v>
      </c>
    </row>
    <row r="194" spans="1:8" x14ac:dyDescent="0.25">
      <c r="A194" t="s">
        <v>24</v>
      </c>
      <c r="B194">
        <v>10</v>
      </c>
      <c r="C194" s="3">
        <f t="shared" si="33"/>
        <v>25.536000000000001</v>
      </c>
      <c r="D194" s="8">
        <f t="shared" si="34"/>
        <v>15.535999999999998</v>
      </c>
      <c r="E194" s="2">
        <f t="shared" ref="E194:E257" si="37">IF(D194&gt;MinWastedPower,(D194-MinWastedPower)*RoundtripEfficiency,0)</f>
        <v>7.7179999999999991</v>
      </c>
      <c r="F194" s="3">
        <f t="shared" si="35"/>
        <v>200</v>
      </c>
      <c r="G194" s="2">
        <f t="shared" si="36"/>
        <v>1.25</v>
      </c>
      <c r="H194" s="2">
        <f t="shared" si="28"/>
        <v>6.4679999999999991</v>
      </c>
    </row>
    <row r="195" spans="1:8" x14ac:dyDescent="0.25">
      <c r="A195" t="s">
        <v>24</v>
      </c>
      <c r="B195">
        <v>11</v>
      </c>
      <c r="C195" s="3">
        <f t="shared" si="33"/>
        <v>25.536000000000001</v>
      </c>
      <c r="D195" s="8">
        <f t="shared" si="34"/>
        <v>15.535999999999998</v>
      </c>
      <c r="E195" s="2">
        <f t="shared" si="37"/>
        <v>7.7179999999999991</v>
      </c>
      <c r="F195" s="3">
        <f t="shared" si="35"/>
        <v>200</v>
      </c>
      <c r="G195" s="2">
        <f t="shared" si="36"/>
        <v>1.25</v>
      </c>
      <c r="H195" s="2">
        <f t="shared" si="28"/>
        <v>6.4679999999999991</v>
      </c>
    </row>
    <row r="196" spans="1:8" x14ac:dyDescent="0.25">
      <c r="A196" t="s">
        <v>24</v>
      </c>
      <c r="B196">
        <v>12</v>
      </c>
      <c r="C196" s="3">
        <f t="shared" si="33"/>
        <v>25.536000000000001</v>
      </c>
      <c r="D196" s="8">
        <f t="shared" si="34"/>
        <v>15.535999999999998</v>
      </c>
      <c r="E196" s="2">
        <f t="shared" si="37"/>
        <v>7.7179999999999991</v>
      </c>
      <c r="F196" s="3">
        <f t="shared" si="35"/>
        <v>200</v>
      </c>
      <c r="G196" s="2">
        <f t="shared" si="36"/>
        <v>1.25</v>
      </c>
      <c r="H196" s="2">
        <f t="shared" si="28"/>
        <v>6.4679999999999991</v>
      </c>
    </row>
    <row r="197" spans="1:8" x14ac:dyDescent="0.25">
      <c r="A197" t="s">
        <v>24</v>
      </c>
      <c r="B197">
        <v>13</v>
      </c>
      <c r="C197" s="3">
        <f t="shared" si="33"/>
        <v>25.536000000000001</v>
      </c>
      <c r="D197" s="8">
        <f t="shared" si="34"/>
        <v>15.535999999999998</v>
      </c>
      <c r="E197" s="2">
        <f t="shared" si="37"/>
        <v>7.7179999999999991</v>
      </c>
      <c r="F197" s="3">
        <f t="shared" si="35"/>
        <v>200</v>
      </c>
      <c r="G197" s="2">
        <f t="shared" si="36"/>
        <v>1.25</v>
      </c>
      <c r="H197" s="2">
        <f t="shared" si="28"/>
        <v>6.4679999999999991</v>
      </c>
    </row>
    <row r="198" spans="1:8" x14ac:dyDescent="0.25">
      <c r="A198" t="s">
        <v>24</v>
      </c>
      <c r="B198">
        <v>14</v>
      </c>
      <c r="C198" s="3">
        <f t="shared" si="33"/>
        <v>25.536000000000001</v>
      </c>
      <c r="D198" s="8">
        <f t="shared" si="34"/>
        <v>15.535999999999998</v>
      </c>
      <c r="E198" s="2">
        <f t="shared" si="37"/>
        <v>7.7179999999999991</v>
      </c>
      <c r="F198" s="3">
        <f t="shared" si="35"/>
        <v>200</v>
      </c>
      <c r="G198" s="2">
        <f t="shared" si="36"/>
        <v>1.25</v>
      </c>
      <c r="H198" s="2">
        <f t="shared" si="28"/>
        <v>6.4679999999999991</v>
      </c>
    </row>
    <row r="199" spans="1:8" x14ac:dyDescent="0.25">
      <c r="A199" t="s">
        <v>24</v>
      </c>
      <c r="B199">
        <v>15</v>
      </c>
      <c r="C199" s="3">
        <f t="shared" si="33"/>
        <v>25.536000000000001</v>
      </c>
      <c r="D199" s="8">
        <f t="shared" si="34"/>
        <v>15.535999999999998</v>
      </c>
      <c r="E199" s="2">
        <f t="shared" si="37"/>
        <v>7.7179999999999991</v>
      </c>
      <c r="F199" s="3">
        <f t="shared" si="35"/>
        <v>200</v>
      </c>
      <c r="G199" s="2">
        <f t="shared" si="36"/>
        <v>1.25</v>
      </c>
      <c r="H199" s="2">
        <f t="shared" si="28"/>
        <v>6.4679999999999991</v>
      </c>
    </row>
    <row r="200" spans="1:8" x14ac:dyDescent="0.25">
      <c r="A200" t="s">
        <v>24</v>
      </c>
      <c r="B200">
        <v>16</v>
      </c>
      <c r="C200" s="3">
        <f t="shared" si="33"/>
        <v>25.536000000000001</v>
      </c>
      <c r="D200" s="8">
        <f t="shared" si="34"/>
        <v>15.535999999999998</v>
      </c>
      <c r="E200" s="2">
        <f t="shared" si="37"/>
        <v>7.7179999999999991</v>
      </c>
      <c r="F200" s="3">
        <f t="shared" si="35"/>
        <v>200</v>
      </c>
      <c r="G200" s="2">
        <f t="shared" si="36"/>
        <v>1.25</v>
      </c>
      <c r="H200" s="2">
        <f t="shared" si="28"/>
        <v>6.4679999999999991</v>
      </c>
    </row>
    <row r="201" spans="1:8" x14ac:dyDescent="0.25">
      <c r="A201" t="s">
        <v>24</v>
      </c>
      <c r="B201">
        <v>17</v>
      </c>
      <c r="C201" s="3">
        <f t="shared" si="33"/>
        <v>25.536000000000001</v>
      </c>
      <c r="D201" s="8">
        <f t="shared" si="34"/>
        <v>15.535999999999998</v>
      </c>
      <c r="E201" s="2">
        <f t="shared" si="37"/>
        <v>7.7179999999999991</v>
      </c>
      <c r="F201" s="3">
        <f t="shared" si="35"/>
        <v>200</v>
      </c>
      <c r="G201" s="2">
        <f t="shared" si="36"/>
        <v>1.25</v>
      </c>
      <c r="H201" s="2">
        <f t="shared" si="28"/>
        <v>6.4679999999999991</v>
      </c>
    </row>
    <row r="202" spans="1:8" x14ac:dyDescent="0.25">
      <c r="A202" t="s">
        <v>24</v>
      </c>
      <c r="B202">
        <v>18</v>
      </c>
      <c r="C202" s="3">
        <f t="shared" si="33"/>
        <v>25.536000000000001</v>
      </c>
      <c r="D202" s="8">
        <f t="shared" si="34"/>
        <v>15.535999999999998</v>
      </c>
      <c r="E202" s="2">
        <f t="shared" si="37"/>
        <v>7.7179999999999991</v>
      </c>
      <c r="F202" s="3">
        <f t="shared" si="35"/>
        <v>200</v>
      </c>
      <c r="G202" s="2">
        <f t="shared" si="36"/>
        <v>1.25</v>
      </c>
      <c r="H202" s="2">
        <f t="shared" si="28"/>
        <v>6.4679999999999991</v>
      </c>
    </row>
    <row r="203" spans="1:8" x14ac:dyDescent="0.25">
      <c r="A203" t="s">
        <v>24</v>
      </c>
      <c r="B203">
        <v>19</v>
      </c>
      <c r="C203" s="3">
        <f t="shared" si="33"/>
        <v>25.536000000000001</v>
      </c>
      <c r="D203" s="8">
        <f t="shared" si="34"/>
        <v>15.535999999999998</v>
      </c>
      <c r="E203" s="2">
        <f t="shared" si="37"/>
        <v>7.7179999999999991</v>
      </c>
      <c r="F203" s="3">
        <f t="shared" si="35"/>
        <v>200</v>
      </c>
      <c r="G203" s="2">
        <f t="shared" si="36"/>
        <v>1.25</v>
      </c>
      <c r="H203" s="2">
        <f t="shared" si="28"/>
        <v>6.4679999999999991</v>
      </c>
    </row>
    <row r="204" spans="1:8" x14ac:dyDescent="0.25">
      <c r="A204" t="s">
        <v>24</v>
      </c>
      <c r="B204">
        <v>20</v>
      </c>
      <c r="C204" s="3">
        <f t="shared" si="33"/>
        <v>25.536000000000001</v>
      </c>
      <c r="D204" s="8">
        <f t="shared" si="34"/>
        <v>15.535999999999998</v>
      </c>
      <c r="E204" s="2">
        <f t="shared" si="37"/>
        <v>7.7179999999999991</v>
      </c>
      <c r="F204" s="3">
        <f t="shared" si="35"/>
        <v>200</v>
      </c>
      <c r="G204" s="2">
        <f t="shared" si="36"/>
        <v>1.25</v>
      </c>
      <c r="H204" s="2">
        <f t="shared" si="28"/>
        <v>6.4679999999999991</v>
      </c>
    </row>
    <row r="205" spans="1:8" x14ac:dyDescent="0.25">
      <c r="A205" t="s">
        <v>24</v>
      </c>
      <c r="B205">
        <v>21</v>
      </c>
      <c r="C205" s="3">
        <f t="shared" si="33"/>
        <v>25.536000000000001</v>
      </c>
      <c r="D205" s="8">
        <f t="shared" si="34"/>
        <v>15.535999999999998</v>
      </c>
      <c r="E205" s="2">
        <f t="shared" si="37"/>
        <v>7.7179999999999991</v>
      </c>
      <c r="F205" s="3">
        <f t="shared" si="35"/>
        <v>200</v>
      </c>
      <c r="G205" s="2">
        <f t="shared" si="36"/>
        <v>1.25</v>
      </c>
      <c r="H205" s="2">
        <f t="shared" si="28"/>
        <v>6.4679999999999991</v>
      </c>
    </row>
    <row r="206" spans="1:8" x14ac:dyDescent="0.25">
      <c r="A206" t="s">
        <v>24</v>
      </c>
      <c r="B206">
        <v>22</v>
      </c>
      <c r="C206" s="3">
        <f t="shared" si="33"/>
        <v>25.536000000000001</v>
      </c>
      <c r="D206" s="8">
        <f t="shared" si="34"/>
        <v>15.535999999999998</v>
      </c>
      <c r="E206" s="2">
        <f t="shared" si="37"/>
        <v>7.7179999999999991</v>
      </c>
      <c r="F206" s="3">
        <f t="shared" si="35"/>
        <v>200</v>
      </c>
      <c r="G206" s="2">
        <f t="shared" si="36"/>
        <v>1.25</v>
      </c>
      <c r="H206" s="2">
        <f t="shared" si="28"/>
        <v>6.4679999999999991</v>
      </c>
    </row>
    <row r="207" spans="1:8" x14ac:dyDescent="0.25">
      <c r="A207" t="s">
        <v>24</v>
      </c>
      <c r="B207">
        <v>23</v>
      </c>
      <c r="C207" s="3">
        <f t="shared" si="33"/>
        <v>25.536000000000001</v>
      </c>
      <c r="D207" s="8">
        <f t="shared" si="34"/>
        <v>15.535999999999998</v>
      </c>
      <c r="E207" s="2">
        <f t="shared" si="37"/>
        <v>7.7179999999999991</v>
      </c>
      <c r="F207" s="3">
        <f t="shared" si="35"/>
        <v>200</v>
      </c>
      <c r="G207" s="2">
        <f t="shared" si="36"/>
        <v>1.25</v>
      </c>
      <c r="H207" s="2">
        <f t="shared" si="28"/>
        <v>6.4679999999999991</v>
      </c>
    </row>
    <row r="208" spans="1:8" x14ac:dyDescent="0.25">
      <c r="A208" t="s">
        <v>24</v>
      </c>
      <c r="B208">
        <v>24</v>
      </c>
      <c r="C208" s="3">
        <f t="shared" si="33"/>
        <v>25.536000000000001</v>
      </c>
      <c r="D208" s="8">
        <f t="shared" si="34"/>
        <v>15.535999999999998</v>
      </c>
      <c r="E208" s="2">
        <f t="shared" si="37"/>
        <v>7.7179999999999991</v>
      </c>
      <c r="F208" s="3">
        <f t="shared" si="35"/>
        <v>200</v>
      </c>
      <c r="G208" s="2">
        <f t="shared" si="36"/>
        <v>1.25</v>
      </c>
      <c r="H208" s="2">
        <f t="shared" si="28"/>
        <v>6.4679999999999991</v>
      </c>
    </row>
    <row r="209" spans="1:8" x14ac:dyDescent="0.25">
      <c r="A209" t="s">
        <v>24</v>
      </c>
      <c r="B209">
        <v>25</v>
      </c>
      <c r="C209" s="3">
        <f t="shared" si="33"/>
        <v>25.536000000000001</v>
      </c>
      <c r="D209" s="8">
        <f t="shared" si="34"/>
        <v>15.535999999999998</v>
      </c>
      <c r="E209" s="2">
        <f t="shared" si="37"/>
        <v>7.7179999999999991</v>
      </c>
      <c r="F209" s="3">
        <f t="shared" si="35"/>
        <v>200</v>
      </c>
      <c r="G209" s="2">
        <f t="shared" si="36"/>
        <v>1.25</v>
      </c>
      <c r="H209" s="2">
        <f t="shared" si="28"/>
        <v>6.4679999999999991</v>
      </c>
    </row>
    <row r="210" spans="1:8" x14ac:dyDescent="0.25">
      <c r="A210" t="s">
        <v>24</v>
      </c>
      <c r="B210">
        <v>26</v>
      </c>
      <c r="C210" s="3">
        <f t="shared" si="33"/>
        <v>25.536000000000001</v>
      </c>
      <c r="D210" s="8">
        <f t="shared" si="34"/>
        <v>15.535999999999998</v>
      </c>
      <c r="E210" s="2">
        <f t="shared" si="37"/>
        <v>7.7179999999999991</v>
      </c>
      <c r="F210" s="3">
        <f t="shared" si="35"/>
        <v>200</v>
      </c>
      <c r="G210" s="2">
        <f t="shared" si="36"/>
        <v>1.25</v>
      </c>
      <c r="H210" s="2">
        <f t="shared" ref="H210:H273" si="38">IF(E210&gt;0,E210-G210-(F210-F209),0)</f>
        <v>6.4679999999999991</v>
      </c>
    </row>
    <row r="211" spans="1:8" x14ac:dyDescent="0.25">
      <c r="A211" t="s">
        <v>24</v>
      </c>
      <c r="B211">
        <v>27</v>
      </c>
      <c r="C211" s="3">
        <f t="shared" si="33"/>
        <v>25.536000000000001</v>
      </c>
      <c r="D211" s="8">
        <f t="shared" si="34"/>
        <v>15.535999999999998</v>
      </c>
      <c r="E211" s="2">
        <f t="shared" si="37"/>
        <v>7.7179999999999991</v>
      </c>
      <c r="F211" s="3">
        <f t="shared" si="35"/>
        <v>200</v>
      </c>
      <c r="G211" s="2">
        <f t="shared" si="36"/>
        <v>1.25</v>
      </c>
      <c r="H211" s="2">
        <f t="shared" si="38"/>
        <v>6.4679999999999991</v>
      </c>
    </row>
    <row r="212" spans="1:8" x14ac:dyDescent="0.25">
      <c r="A212" t="s">
        <v>24</v>
      </c>
      <c r="B212">
        <v>28</v>
      </c>
      <c r="C212" s="3">
        <f t="shared" si="33"/>
        <v>25.536000000000001</v>
      </c>
      <c r="D212" s="8">
        <f t="shared" si="34"/>
        <v>15.535999999999998</v>
      </c>
      <c r="E212" s="2">
        <f t="shared" si="37"/>
        <v>7.7179999999999991</v>
      </c>
      <c r="F212" s="3">
        <f t="shared" si="35"/>
        <v>200</v>
      </c>
      <c r="G212" s="2">
        <f t="shared" si="36"/>
        <v>1.25</v>
      </c>
      <c r="H212" s="2">
        <f t="shared" si="38"/>
        <v>6.4679999999999991</v>
      </c>
    </row>
    <row r="213" spans="1:8" x14ac:dyDescent="0.25">
      <c r="A213" t="s">
        <v>24</v>
      </c>
      <c r="B213">
        <v>29</v>
      </c>
      <c r="C213" s="3">
        <f t="shared" si="33"/>
        <v>25.536000000000001</v>
      </c>
      <c r="D213" s="8">
        <f t="shared" si="34"/>
        <v>15.535999999999998</v>
      </c>
      <c r="E213" s="2">
        <f t="shared" si="37"/>
        <v>7.7179999999999991</v>
      </c>
      <c r="F213" s="3">
        <f t="shared" si="35"/>
        <v>200</v>
      </c>
      <c r="G213" s="2">
        <f t="shared" si="36"/>
        <v>1.25</v>
      </c>
      <c r="H213" s="2">
        <f t="shared" si="38"/>
        <v>6.4679999999999991</v>
      </c>
    </row>
    <row r="214" spans="1:8" x14ac:dyDescent="0.25">
      <c r="A214" t="s">
        <v>24</v>
      </c>
      <c r="B214">
        <v>30</v>
      </c>
      <c r="C214" s="3">
        <f t="shared" si="33"/>
        <v>25.536000000000001</v>
      </c>
      <c r="D214" s="8">
        <f t="shared" si="34"/>
        <v>15.535999999999998</v>
      </c>
      <c r="E214" s="2">
        <f t="shared" si="37"/>
        <v>7.7179999999999991</v>
      </c>
      <c r="F214" s="3">
        <f t="shared" si="35"/>
        <v>200</v>
      </c>
      <c r="G214" s="2">
        <f t="shared" si="36"/>
        <v>1.25</v>
      </c>
      <c r="H214" s="2">
        <f t="shared" si="38"/>
        <v>6.4679999999999991</v>
      </c>
    </row>
    <row r="215" spans="1:8" x14ac:dyDescent="0.25">
      <c r="A215" t="s">
        <v>24</v>
      </c>
      <c r="B215">
        <v>31</v>
      </c>
      <c r="C215" s="3">
        <f t="shared" si="33"/>
        <v>25.536000000000001</v>
      </c>
      <c r="D215" s="8">
        <f t="shared" si="34"/>
        <v>15.535999999999998</v>
      </c>
      <c r="E215" s="2">
        <f t="shared" si="37"/>
        <v>7.7179999999999991</v>
      </c>
      <c r="F215" s="3">
        <f t="shared" si="35"/>
        <v>200</v>
      </c>
      <c r="G215" s="2">
        <f t="shared" si="36"/>
        <v>1.25</v>
      </c>
      <c r="H215" s="2">
        <f t="shared" si="38"/>
        <v>6.4679999999999991</v>
      </c>
    </row>
    <row r="216" spans="1:8" x14ac:dyDescent="0.25">
      <c r="A216" t="s">
        <v>25</v>
      </c>
      <c r="B216">
        <v>1</v>
      </c>
      <c r="C216" s="3">
        <f t="shared" ref="C216:C245" si="39">NovSunHours*SolarMaxGenCap*SolarEfficiency</f>
        <v>7.0679999999999996</v>
      </c>
      <c r="D216" s="8">
        <f t="shared" ref="D216:D245" si="40">(NovSunHours*(SolarMaxGenCap*SolarEfficiency))-NovPowerUse</f>
        <v>-1.1820000000000013</v>
      </c>
      <c r="E216" s="2">
        <f t="shared" si="37"/>
        <v>0</v>
      </c>
      <c r="F216" s="3">
        <f t="shared" ref="F216:F245" si="41">IF((F215*(1-NovDailyLossPct)-NovDailyLossAbs)+E216&gt;MaxPowerStore,MaxPowerStore,(IF(F215+E216&gt;0.1,(F215*(1-NovDailyLossPct)-NovDailyLossAbs)+ (IF(D216&lt;0,D216,E216)),0)))</f>
        <v>197.56800000000001</v>
      </c>
      <c r="G216" s="2">
        <f t="shared" ref="G216:G245" si="42">IF(F216&gt;0,NovDailyLossAbs+(F215*NovDailyLossPct),0)</f>
        <v>1.25</v>
      </c>
      <c r="H216" s="2">
        <f t="shared" si="38"/>
        <v>0</v>
      </c>
    </row>
    <row r="217" spans="1:8" x14ac:dyDescent="0.25">
      <c r="A217" t="s">
        <v>25</v>
      </c>
      <c r="B217">
        <v>2</v>
      </c>
      <c r="C217" s="3">
        <f t="shared" si="39"/>
        <v>7.0679999999999996</v>
      </c>
      <c r="D217" s="8">
        <f t="shared" si="40"/>
        <v>-1.1820000000000013</v>
      </c>
      <c r="E217" s="2">
        <f t="shared" si="37"/>
        <v>0</v>
      </c>
      <c r="F217" s="3">
        <f t="shared" si="41"/>
        <v>195.14816000000002</v>
      </c>
      <c r="G217" s="2">
        <f t="shared" si="42"/>
        <v>1.2378400000000001</v>
      </c>
      <c r="H217" s="2">
        <f t="shared" si="38"/>
        <v>0</v>
      </c>
    </row>
    <row r="218" spans="1:8" x14ac:dyDescent="0.25">
      <c r="A218" t="s">
        <v>25</v>
      </c>
      <c r="B218">
        <v>3</v>
      </c>
      <c r="C218" s="3">
        <f t="shared" si="39"/>
        <v>7.0679999999999996</v>
      </c>
      <c r="D218" s="8">
        <f t="shared" si="40"/>
        <v>-1.1820000000000013</v>
      </c>
      <c r="E218" s="2">
        <f t="shared" si="37"/>
        <v>0</v>
      </c>
      <c r="F218" s="3">
        <f t="shared" si="41"/>
        <v>192.74041920000002</v>
      </c>
      <c r="G218" s="2">
        <f t="shared" si="42"/>
        <v>1.2257408000000001</v>
      </c>
      <c r="H218" s="2">
        <f t="shared" si="38"/>
        <v>0</v>
      </c>
    </row>
    <row r="219" spans="1:8" x14ac:dyDescent="0.25">
      <c r="A219" t="s">
        <v>25</v>
      </c>
      <c r="B219">
        <v>4</v>
      </c>
      <c r="C219" s="3">
        <f t="shared" si="39"/>
        <v>7.0679999999999996</v>
      </c>
      <c r="D219" s="8">
        <f t="shared" si="40"/>
        <v>-1.1820000000000013</v>
      </c>
      <c r="E219" s="2">
        <f t="shared" si="37"/>
        <v>0</v>
      </c>
      <c r="F219" s="3">
        <f t="shared" si="41"/>
        <v>190.34471710400004</v>
      </c>
      <c r="G219" s="2">
        <f t="shared" si="42"/>
        <v>1.213702096</v>
      </c>
      <c r="H219" s="2">
        <f t="shared" si="38"/>
        <v>0</v>
      </c>
    </row>
    <row r="220" spans="1:8" x14ac:dyDescent="0.25">
      <c r="A220" t="s">
        <v>25</v>
      </c>
      <c r="B220">
        <v>5</v>
      </c>
      <c r="C220" s="3">
        <f t="shared" si="39"/>
        <v>7.0679999999999996</v>
      </c>
      <c r="D220" s="8">
        <f t="shared" si="40"/>
        <v>-1.1820000000000013</v>
      </c>
      <c r="E220" s="2">
        <f t="shared" si="37"/>
        <v>0</v>
      </c>
      <c r="F220" s="3">
        <f t="shared" si="41"/>
        <v>187.96099351848005</v>
      </c>
      <c r="G220" s="2">
        <f t="shared" si="42"/>
        <v>1.2017235855200004</v>
      </c>
      <c r="H220" s="2">
        <f t="shared" si="38"/>
        <v>0</v>
      </c>
    </row>
    <row r="221" spans="1:8" x14ac:dyDescent="0.25">
      <c r="A221" t="s">
        <v>25</v>
      </c>
      <c r="B221">
        <v>6</v>
      </c>
      <c r="C221" s="3">
        <f t="shared" si="39"/>
        <v>7.0679999999999996</v>
      </c>
      <c r="D221" s="8">
        <f t="shared" si="40"/>
        <v>-1.1820000000000013</v>
      </c>
      <c r="E221" s="2">
        <f t="shared" si="37"/>
        <v>0</v>
      </c>
      <c r="F221" s="3">
        <f t="shared" si="41"/>
        <v>185.58918855088766</v>
      </c>
      <c r="G221" s="2">
        <f t="shared" si="42"/>
        <v>1.1898049675924003</v>
      </c>
      <c r="H221" s="2">
        <f t="shared" si="38"/>
        <v>0</v>
      </c>
    </row>
    <row r="222" spans="1:8" x14ac:dyDescent="0.25">
      <c r="A222" t="s">
        <v>25</v>
      </c>
      <c r="B222">
        <v>7</v>
      </c>
      <c r="C222" s="3">
        <f t="shared" si="39"/>
        <v>7.0679999999999996</v>
      </c>
      <c r="D222" s="8">
        <f t="shared" si="40"/>
        <v>-1.1820000000000013</v>
      </c>
      <c r="E222" s="2">
        <f t="shared" si="37"/>
        <v>0</v>
      </c>
      <c r="F222" s="3">
        <f t="shared" si="41"/>
        <v>183.22924260813323</v>
      </c>
      <c r="G222" s="2">
        <f t="shared" si="42"/>
        <v>1.1779459427544383</v>
      </c>
      <c r="H222" s="2">
        <f t="shared" si="38"/>
        <v>0</v>
      </c>
    </row>
    <row r="223" spans="1:8" x14ac:dyDescent="0.25">
      <c r="A223" t="s">
        <v>25</v>
      </c>
      <c r="B223">
        <v>8</v>
      </c>
      <c r="C223" s="3">
        <f t="shared" si="39"/>
        <v>7.0679999999999996</v>
      </c>
      <c r="D223" s="8">
        <f t="shared" si="40"/>
        <v>-1.1820000000000013</v>
      </c>
      <c r="E223" s="2">
        <f t="shared" si="37"/>
        <v>0</v>
      </c>
      <c r="F223" s="3">
        <f t="shared" si="41"/>
        <v>180.88109639509258</v>
      </c>
      <c r="G223" s="2">
        <f t="shared" si="42"/>
        <v>1.1661462130406663</v>
      </c>
      <c r="H223" s="2">
        <f t="shared" si="38"/>
        <v>0</v>
      </c>
    </row>
    <row r="224" spans="1:8" x14ac:dyDescent="0.25">
      <c r="A224" t="s">
        <v>25</v>
      </c>
      <c r="B224">
        <v>9</v>
      </c>
      <c r="C224" s="3">
        <f t="shared" si="39"/>
        <v>7.0679999999999996</v>
      </c>
      <c r="D224" s="8">
        <f t="shared" si="40"/>
        <v>-1.1820000000000013</v>
      </c>
      <c r="E224" s="2">
        <f t="shared" si="37"/>
        <v>0</v>
      </c>
      <c r="F224" s="3">
        <f t="shared" si="41"/>
        <v>178.54469091311714</v>
      </c>
      <c r="G224" s="2">
        <f t="shared" si="42"/>
        <v>1.1544054819754628</v>
      </c>
      <c r="H224" s="2">
        <f t="shared" si="38"/>
        <v>0</v>
      </c>
    </row>
    <row r="225" spans="1:8" x14ac:dyDescent="0.25">
      <c r="A225" t="s">
        <v>25</v>
      </c>
      <c r="B225">
        <v>10</v>
      </c>
      <c r="C225" s="3">
        <f t="shared" si="39"/>
        <v>7.0679999999999996</v>
      </c>
      <c r="D225" s="8">
        <f t="shared" si="40"/>
        <v>-1.1820000000000013</v>
      </c>
      <c r="E225" s="2">
        <f t="shared" si="37"/>
        <v>0</v>
      </c>
      <c r="F225" s="3">
        <f t="shared" si="41"/>
        <v>176.21996745855157</v>
      </c>
      <c r="G225" s="2">
        <f t="shared" si="42"/>
        <v>1.1427234545655858</v>
      </c>
      <c r="H225" s="2">
        <f t="shared" si="38"/>
        <v>0</v>
      </c>
    </row>
    <row r="226" spans="1:8" x14ac:dyDescent="0.25">
      <c r="A226" t="s">
        <v>25</v>
      </c>
      <c r="B226">
        <v>11</v>
      </c>
      <c r="C226" s="3">
        <f t="shared" si="39"/>
        <v>7.0679999999999996</v>
      </c>
      <c r="D226" s="8">
        <f t="shared" si="40"/>
        <v>-1.1820000000000013</v>
      </c>
      <c r="E226" s="2">
        <f t="shared" si="37"/>
        <v>0</v>
      </c>
      <c r="F226" s="3">
        <f t="shared" si="41"/>
        <v>173.90686762125881</v>
      </c>
      <c r="G226" s="2">
        <f t="shared" si="42"/>
        <v>1.1310998372927579</v>
      </c>
      <c r="H226" s="2">
        <f t="shared" si="38"/>
        <v>0</v>
      </c>
    </row>
    <row r="227" spans="1:8" x14ac:dyDescent="0.25">
      <c r="A227" t="s">
        <v>25</v>
      </c>
      <c r="B227">
        <v>12</v>
      </c>
      <c r="C227" s="3">
        <f t="shared" si="39"/>
        <v>7.0679999999999996</v>
      </c>
      <c r="D227" s="8">
        <f t="shared" si="40"/>
        <v>-1.1820000000000013</v>
      </c>
      <c r="E227" s="2">
        <f t="shared" si="37"/>
        <v>0</v>
      </c>
      <c r="F227" s="3">
        <f t="shared" si="41"/>
        <v>171.60533328315253</v>
      </c>
      <c r="G227" s="2">
        <f t="shared" si="42"/>
        <v>1.1195343381062941</v>
      </c>
      <c r="H227" s="2">
        <f t="shared" si="38"/>
        <v>0</v>
      </c>
    </row>
    <row r="228" spans="1:8" x14ac:dyDescent="0.25">
      <c r="A228" t="s">
        <v>25</v>
      </c>
      <c r="B228">
        <v>13</v>
      </c>
      <c r="C228" s="3">
        <f t="shared" si="39"/>
        <v>7.0679999999999996</v>
      </c>
      <c r="D228" s="8">
        <f t="shared" si="40"/>
        <v>-1.1820000000000013</v>
      </c>
      <c r="E228" s="2">
        <f t="shared" si="37"/>
        <v>0</v>
      </c>
      <c r="F228" s="3">
        <f t="shared" si="41"/>
        <v>169.31530661673679</v>
      </c>
      <c r="G228" s="2">
        <f t="shared" si="42"/>
        <v>1.1080266664157628</v>
      </c>
      <c r="H228" s="2">
        <f t="shared" si="38"/>
        <v>0</v>
      </c>
    </row>
    <row r="229" spans="1:8" x14ac:dyDescent="0.25">
      <c r="A229" t="s">
        <v>25</v>
      </c>
      <c r="B229">
        <v>14</v>
      </c>
      <c r="C229" s="3">
        <f t="shared" si="39"/>
        <v>7.0679999999999996</v>
      </c>
      <c r="D229" s="8">
        <f t="shared" si="40"/>
        <v>-1.1820000000000013</v>
      </c>
      <c r="E229" s="2">
        <f t="shared" si="37"/>
        <v>0</v>
      </c>
      <c r="F229" s="3">
        <f t="shared" si="41"/>
        <v>167.03673008365311</v>
      </c>
      <c r="G229" s="2">
        <f t="shared" si="42"/>
        <v>1.0965765330836841</v>
      </c>
      <c r="H229" s="2">
        <f t="shared" si="38"/>
        <v>0</v>
      </c>
    </row>
    <row r="230" spans="1:8" x14ac:dyDescent="0.25">
      <c r="A230" t="s">
        <v>25</v>
      </c>
      <c r="B230">
        <v>15</v>
      </c>
      <c r="C230" s="3">
        <f t="shared" si="39"/>
        <v>7.0679999999999996</v>
      </c>
      <c r="D230" s="8">
        <f t="shared" si="40"/>
        <v>-1.1820000000000013</v>
      </c>
      <c r="E230" s="2">
        <f t="shared" si="37"/>
        <v>0</v>
      </c>
      <c r="F230" s="3">
        <f t="shared" si="41"/>
        <v>164.76954643323486</v>
      </c>
      <c r="G230" s="2">
        <f t="shared" si="42"/>
        <v>1.0851836504182657</v>
      </c>
      <c r="H230" s="2">
        <f t="shared" si="38"/>
        <v>0</v>
      </c>
    </row>
    <row r="231" spans="1:8" x14ac:dyDescent="0.25">
      <c r="A231" t="s">
        <v>25</v>
      </c>
      <c r="B231">
        <v>16</v>
      </c>
      <c r="C231" s="3">
        <f t="shared" si="39"/>
        <v>7.0679999999999996</v>
      </c>
      <c r="D231" s="8">
        <f t="shared" si="40"/>
        <v>-1.1820000000000013</v>
      </c>
      <c r="E231" s="2">
        <f t="shared" si="37"/>
        <v>0</v>
      </c>
      <c r="F231" s="3">
        <f t="shared" si="41"/>
        <v>162.51369870106871</v>
      </c>
      <c r="G231" s="2">
        <f t="shared" si="42"/>
        <v>1.0738477321661744</v>
      </c>
      <c r="H231" s="2">
        <f t="shared" si="38"/>
        <v>0</v>
      </c>
    </row>
    <row r="232" spans="1:8" x14ac:dyDescent="0.25">
      <c r="A232" t="s">
        <v>25</v>
      </c>
      <c r="B232">
        <v>17</v>
      </c>
      <c r="C232" s="3">
        <f t="shared" si="39"/>
        <v>7.0679999999999996</v>
      </c>
      <c r="D232" s="8">
        <f t="shared" si="40"/>
        <v>-1.1820000000000013</v>
      </c>
      <c r="E232" s="2">
        <f t="shared" si="37"/>
        <v>0</v>
      </c>
      <c r="F232" s="3">
        <f t="shared" si="41"/>
        <v>160.26913020756336</v>
      </c>
      <c r="G232" s="2">
        <f t="shared" si="42"/>
        <v>1.0625684935053434</v>
      </c>
      <c r="H232" s="2">
        <f t="shared" si="38"/>
        <v>0</v>
      </c>
    </row>
    <row r="233" spans="1:8" x14ac:dyDescent="0.25">
      <c r="A233" t="s">
        <v>25</v>
      </c>
      <c r="B233">
        <v>18</v>
      </c>
      <c r="C233" s="3">
        <f t="shared" si="39"/>
        <v>7.0679999999999996</v>
      </c>
      <c r="D233" s="8">
        <f t="shared" si="40"/>
        <v>-1.1820000000000013</v>
      </c>
      <c r="E233" s="2">
        <f t="shared" si="37"/>
        <v>0</v>
      </c>
      <c r="F233" s="3">
        <f t="shared" si="41"/>
        <v>158.03578455652556</v>
      </c>
      <c r="G233" s="2">
        <f t="shared" si="42"/>
        <v>1.051345651037817</v>
      </c>
      <c r="H233" s="2">
        <f t="shared" si="38"/>
        <v>0</v>
      </c>
    </row>
    <row r="234" spans="1:8" x14ac:dyDescent="0.25">
      <c r="A234" t="s">
        <v>25</v>
      </c>
      <c r="B234">
        <v>19</v>
      </c>
      <c r="C234" s="3">
        <f t="shared" si="39"/>
        <v>7.0679999999999996</v>
      </c>
      <c r="D234" s="8">
        <f t="shared" si="40"/>
        <v>-1.1820000000000013</v>
      </c>
      <c r="E234" s="2">
        <f t="shared" si="37"/>
        <v>0</v>
      </c>
      <c r="F234" s="3">
        <f t="shared" si="41"/>
        <v>155.81360563374295</v>
      </c>
      <c r="G234" s="2">
        <f t="shared" si="42"/>
        <v>1.0401789227826277</v>
      </c>
      <c r="H234" s="2">
        <f t="shared" si="38"/>
        <v>0</v>
      </c>
    </row>
    <row r="235" spans="1:8" x14ac:dyDescent="0.25">
      <c r="A235" t="s">
        <v>25</v>
      </c>
      <c r="B235">
        <v>20</v>
      </c>
      <c r="C235" s="3">
        <f t="shared" si="39"/>
        <v>7.0679999999999996</v>
      </c>
      <c r="D235" s="8">
        <f t="shared" si="40"/>
        <v>-1.1820000000000013</v>
      </c>
      <c r="E235" s="2">
        <f t="shared" si="37"/>
        <v>0</v>
      </c>
      <c r="F235" s="3">
        <f t="shared" si="41"/>
        <v>153.60253760557424</v>
      </c>
      <c r="G235" s="2">
        <f t="shared" si="42"/>
        <v>1.0290680281687148</v>
      </c>
      <c r="H235" s="2">
        <f t="shared" si="38"/>
        <v>0</v>
      </c>
    </row>
    <row r="236" spans="1:8" x14ac:dyDescent="0.25">
      <c r="A236" t="s">
        <v>25</v>
      </c>
      <c r="B236">
        <v>21</v>
      </c>
      <c r="C236" s="3">
        <f t="shared" si="39"/>
        <v>7.0679999999999996</v>
      </c>
      <c r="D236" s="8">
        <f t="shared" si="40"/>
        <v>-1.1820000000000013</v>
      </c>
      <c r="E236" s="2">
        <f t="shared" si="37"/>
        <v>0</v>
      </c>
      <c r="F236" s="3">
        <f t="shared" si="41"/>
        <v>151.40252491754637</v>
      </c>
      <c r="G236" s="2">
        <f t="shared" si="42"/>
        <v>1.0180126880278713</v>
      </c>
      <c r="H236" s="2">
        <f t="shared" si="38"/>
        <v>0</v>
      </c>
    </row>
    <row r="237" spans="1:8" x14ac:dyDescent="0.25">
      <c r="A237" t="s">
        <v>25</v>
      </c>
      <c r="B237">
        <v>22</v>
      </c>
      <c r="C237" s="3">
        <f t="shared" si="39"/>
        <v>7.0679999999999996</v>
      </c>
      <c r="D237" s="8">
        <f t="shared" si="40"/>
        <v>-1.1820000000000013</v>
      </c>
      <c r="E237" s="2">
        <f t="shared" si="37"/>
        <v>0</v>
      </c>
      <c r="F237" s="3">
        <f t="shared" si="41"/>
        <v>149.21351229295865</v>
      </c>
      <c r="G237" s="2">
        <f t="shared" si="42"/>
        <v>1.0070126245877318</v>
      </c>
      <c r="H237" s="2">
        <f t="shared" si="38"/>
        <v>0</v>
      </c>
    </row>
    <row r="238" spans="1:8" x14ac:dyDescent="0.25">
      <c r="A238" t="s">
        <v>25</v>
      </c>
      <c r="B238">
        <v>23</v>
      </c>
      <c r="C238" s="3">
        <f t="shared" si="39"/>
        <v>7.0679999999999996</v>
      </c>
      <c r="D238" s="8">
        <f t="shared" si="40"/>
        <v>-1.1820000000000013</v>
      </c>
      <c r="E238" s="2">
        <f t="shared" si="37"/>
        <v>0</v>
      </c>
      <c r="F238" s="3">
        <f t="shared" si="41"/>
        <v>147.03544473149387</v>
      </c>
      <c r="G238" s="2">
        <f t="shared" si="42"/>
        <v>0.99606756146479325</v>
      </c>
      <c r="H238" s="2">
        <f t="shared" si="38"/>
        <v>0</v>
      </c>
    </row>
    <row r="239" spans="1:8" x14ac:dyDescent="0.25">
      <c r="A239" t="s">
        <v>25</v>
      </c>
      <c r="B239">
        <v>24</v>
      </c>
      <c r="C239" s="3">
        <f t="shared" si="39"/>
        <v>7.0679999999999996</v>
      </c>
      <c r="D239" s="8">
        <f t="shared" si="40"/>
        <v>-1.1820000000000013</v>
      </c>
      <c r="E239" s="2">
        <f t="shared" si="37"/>
        <v>0</v>
      </c>
      <c r="F239" s="3">
        <f t="shared" si="41"/>
        <v>144.86826750783641</v>
      </c>
      <c r="G239" s="2">
        <f t="shared" si="42"/>
        <v>0.9851772236574694</v>
      </c>
      <c r="H239" s="2">
        <f t="shared" si="38"/>
        <v>0</v>
      </c>
    </row>
    <row r="240" spans="1:8" x14ac:dyDescent="0.25">
      <c r="A240" t="s">
        <v>25</v>
      </c>
      <c r="B240">
        <v>25</v>
      </c>
      <c r="C240" s="3">
        <f t="shared" si="39"/>
        <v>7.0679999999999996</v>
      </c>
      <c r="D240" s="8">
        <f t="shared" si="40"/>
        <v>-1.1820000000000013</v>
      </c>
      <c r="E240" s="2">
        <f t="shared" si="37"/>
        <v>0</v>
      </c>
      <c r="F240" s="3">
        <f t="shared" si="41"/>
        <v>142.71192617029723</v>
      </c>
      <c r="G240" s="2">
        <f t="shared" si="42"/>
        <v>0.97434133753918206</v>
      </c>
      <c r="H240" s="2">
        <f t="shared" si="38"/>
        <v>0</v>
      </c>
    </row>
    <row r="241" spans="1:8" x14ac:dyDescent="0.25">
      <c r="A241" t="s">
        <v>25</v>
      </c>
      <c r="B241">
        <v>26</v>
      </c>
      <c r="C241" s="3">
        <f t="shared" si="39"/>
        <v>7.0679999999999996</v>
      </c>
      <c r="D241" s="8">
        <f t="shared" si="40"/>
        <v>-1.1820000000000013</v>
      </c>
      <c r="E241" s="2">
        <f t="shared" si="37"/>
        <v>0</v>
      </c>
      <c r="F241" s="3">
        <f t="shared" si="41"/>
        <v>140.56636653944577</v>
      </c>
      <c r="G241" s="2">
        <f t="shared" si="42"/>
        <v>0.96355963085148622</v>
      </c>
      <c r="H241" s="2">
        <f t="shared" si="38"/>
        <v>0</v>
      </c>
    </row>
    <row r="242" spans="1:8" x14ac:dyDescent="0.25">
      <c r="A242" t="s">
        <v>25</v>
      </c>
      <c r="B242">
        <v>27</v>
      </c>
      <c r="C242" s="3">
        <f t="shared" si="39"/>
        <v>7.0679999999999996</v>
      </c>
      <c r="D242" s="8">
        <f t="shared" si="40"/>
        <v>-1.1820000000000013</v>
      </c>
      <c r="E242" s="2">
        <f t="shared" si="37"/>
        <v>0</v>
      </c>
      <c r="F242" s="3">
        <f t="shared" si="41"/>
        <v>138.43153470674855</v>
      </c>
      <c r="G242" s="2">
        <f t="shared" si="42"/>
        <v>0.95283183269722882</v>
      </c>
      <c r="H242" s="2">
        <f t="shared" si="38"/>
        <v>0</v>
      </c>
    </row>
    <row r="243" spans="1:8" x14ac:dyDescent="0.25">
      <c r="A243" t="s">
        <v>25</v>
      </c>
      <c r="B243">
        <v>28</v>
      </c>
      <c r="C243" s="3">
        <f t="shared" si="39"/>
        <v>7.0679999999999996</v>
      </c>
      <c r="D243" s="8">
        <f t="shared" si="40"/>
        <v>-1.1820000000000013</v>
      </c>
      <c r="E243" s="2">
        <f t="shared" si="37"/>
        <v>0</v>
      </c>
      <c r="F243" s="3">
        <f t="shared" si="41"/>
        <v>136.30737703321481</v>
      </c>
      <c r="G243" s="2">
        <f t="shared" si="42"/>
        <v>0.9421576735337428</v>
      </c>
      <c r="H243" s="2">
        <f t="shared" si="38"/>
        <v>0</v>
      </c>
    </row>
    <row r="244" spans="1:8" x14ac:dyDescent="0.25">
      <c r="A244" t="s">
        <v>25</v>
      </c>
      <c r="B244">
        <v>29</v>
      </c>
      <c r="C244" s="3">
        <f t="shared" si="39"/>
        <v>7.0679999999999996</v>
      </c>
      <c r="D244" s="8">
        <f t="shared" si="40"/>
        <v>-1.1820000000000013</v>
      </c>
      <c r="E244" s="2">
        <f t="shared" si="37"/>
        <v>0</v>
      </c>
      <c r="F244" s="3">
        <f t="shared" si="41"/>
        <v>134.19384014804874</v>
      </c>
      <c r="G244" s="2">
        <f t="shared" si="42"/>
        <v>0.93153688516607402</v>
      </c>
      <c r="H244" s="2">
        <f t="shared" si="38"/>
        <v>0</v>
      </c>
    </row>
    <row r="245" spans="1:8" x14ac:dyDescent="0.25">
      <c r="A245" t="s">
        <v>25</v>
      </c>
      <c r="B245">
        <v>30</v>
      </c>
      <c r="C245" s="3">
        <f t="shared" si="39"/>
        <v>7.0679999999999996</v>
      </c>
      <c r="D245" s="8">
        <f t="shared" si="40"/>
        <v>-1.1820000000000013</v>
      </c>
      <c r="E245" s="2">
        <f t="shared" si="37"/>
        <v>0</v>
      </c>
      <c r="F245" s="3">
        <f t="shared" si="41"/>
        <v>132.0908709473085</v>
      </c>
      <c r="G245" s="2">
        <f t="shared" si="42"/>
        <v>0.92096920074024369</v>
      </c>
      <c r="H245" s="2">
        <f t="shared" si="38"/>
        <v>0</v>
      </c>
    </row>
    <row r="246" spans="1:8" x14ac:dyDescent="0.25">
      <c r="A246" t="s">
        <v>26</v>
      </c>
      <c r="B246">
        <v>1</v>
      </c>
      <c r="C246" s="3">
        <f t="shared" ref="C246:C276" si="43">DecSunHours*SolarMaxGenCap*SolarEfficiency</f>
        <v>6.0419999999999998</v>
      </c>
      <c r="D246" s="8">
        <f t="shared" ref="D246:D276" si="44">(DecSunHours*(SolarMaxGenCap*SolarEfficiency))-DecPowerUse</f>
        <v>-2.2080000000000002</v>
      </c>
      <c r="E246" s="2">
        <f t="shared" si="37"/>
        <v>0</v>
      </c>
      <c r="F246" s="3">
        <f t="shared" ref="F246:F276" si="45">IF((F245*(1-DecDailyLossPct)-DecDailyLossAbs)+E246&gt;MaxPowerStore,MaxPowerStore,(IF(F245+E246&gt;0.1,(F245*(1-DecDailyLossPct)-DecDailyLossAbs)+ (IF(D246&lt;0,D246,E246)),0)))</f>
        <v>128.97241659257196</v>
      </c>
      <c r="G246" s="2">
        <f t="shared" ref="G246:G276" si="46">IF(F246&gt;0,DecDailyLossAbs+(F245*DecDailyLossPct),0)</f>
        <v>0.91045435473654257</v>
      </c>
      <c r="H246" s="2">
        <f t="shared" si="38"/>
        <v>0</v>
      </c>
    </row>
    <row r="247" spans="1:8" x14ac:dyDescent="0.25">
      <c r="A247" t="s">
        <v>26</v>
      </c>
      <c r="B247">
        <v>2</v>
      </c>
      <c r="C247" s="3">
        <f t="shared" si="43"/>
        <v>6.0419999999999998</v>
      </c>
      <c r="D247" s="8">
        <f t="shared" si="44"/>
        <v>-2.2080000000000002</v>
      </c>
      <c r="E247" s="2">
        <f t="shared" si="37"/>
        <v>0</v>
      </c>
      <c r="F247" s="3">
        <f t="shared" si="45"/>
        <v>125.86955450960909</v>
      </c>
      <c r="G247" s="2">
        <f t="shared" si="46"/>
        <v>0.89486208296285985</v>
      </c>
      <c r="H247" s="2">
        <f t="shared" si="38"/>
        <v>0</v>
      </c>
    </row>
    <row r="248" spans="1:8" x14ac:dyDescent="0.25">
      <c r="A248" t="s">
        <v>26</v>
      </c>
      <c r="B248">
        <v>3</v>
      </c>
      <c r="C248" s="3">
        <f t="shared" si="43"/>
        <v>6.0419999999999998</v>
      </c>
      <c r="D248" s="8">
        <f t="shared" si="44"/>
        <v>-2.2080000000000002</v>
      </c>
      <c r="E248" s="2">
        <f t="shared" si="37"/>
        <v>0</v>
      </c>
      <c r="F248" s="3">
        <f t="shared" si="45"/>
        <v>122.78220673706105</v>
      </c>
      <c r="G248" s="2">
        <f t="shared" si="46"/>
        <v>0.87934777254804541</v>
      </c>
      <c r="H248" s="2">
        <f t="shared" si="38"/>
        <v>0</v>
      </c>
    </row>
    <row r="249" spans="1:8" x14ac:dyDescent="0.25">
      <c r="A249" t="s">
        <v>26</v>
      </c>
      <c r="B249">
        <v>4</v>
      </c>
      <c r="C249" s="3">
        <f t="shared" si="43"/>
        <v>6.0419999999999998</v>
      </c>
      <c r="D249" s="8">
        <f t="shared" si="44"/>
        <v>-2.2080000000000002</v>
      </c>
      <c r="E249" s="2">
        <f t="shared" si="37"/>
        <v>0</v>
      </c>
      <c r="F249" s="3">
        <f t="shared" si="45"/>
        <v>119.71029570337573</v>
      </c>
      <c r="G249" s="2">
        <f t="shared" si="46"/>
        <v>0.8639110336853052</v>
      </c>
      <c r="H249" s="2">
        <f t="shared" si="38"/>
        <v>0</v>
      </c>
    </row>
    <row r="250" spans="1:8" x14ac:dyDescent="0.25">
      <c r="A250" t="s">
        <v>26</v>
      </c>
      <c r="B250">
        <v>5</v>
      </c>
      <c r="C250" s="3">
        <f t="shared" si="43"/>
        <v>6.0419999999999998</v>
      </c>
      <c r="D250" s="8">
        <f t="shared" si="44"/>
        <v>-2.2080000000000002</v>
      </c>
      <c r="E250" s="2">
        <f t="shared" si="37"/>
        <v>0</v>
      </c>
      <c r="F250" s="3">
        <f t="shared" si="45"/>
        <v>116.65374422485885</v>
      </c>
      <c r="G250" s="2">
        <f t="shared" si="46"/>
        <v>0.84855147851687873</v>
      </c>
      <c r="H250" s="2">
        <f t="shared" si="38"/>
        <v>0</v>
      </c>
    </row>
    <row r="251" spans="1:8" x14ac:dyDescent="0.25">
      <c r="A251" t="s">
        <v>26</v>
      </c>
      <c r="B251">
        <v>6</v>
      </c>
      <c r="C251" s="3">
        <f t="shared" si="43"/>
        <v>6.0419999999999998</v>
      </c>
      <c r="D251" s="8">
        <f t="shared" si="44"/>
        <v>-2.2080000000000002</v>
      </c>
      <c r="E251" s="2">
        <f t="shared" si="37"/>
        <v>0</v>
      </c>
      <c r="F251" s="3">
        <f t="shared" si="45"/>
        <v>113.61247550373456</v>
      </c>
      <c r="G251" s="2">
        <f t="shared" si="46"/>
        <v>0.83326872112429429</v>
      </c>
      <c r="H251" s="2">
        <f t="shared" si="38"/>
        <v>0</v>
      </c>
    </row>
    <row r="252" spans="1:8" x14ac:dyDescent="0.25">
      <c r="A252" t="s">
        <v>26</v>
      </c>
      <c r="B252">
        <v>7</v>
      </c>
      <c r="C252" s="3">
        <f t="shared" si="43"/>
        <v>6.0419999999999998</v>
      </c>
      <c r="D252" s="8">
        <f t="shared" si="44"/>
        <v>-2.2080000000000002</v>
      </c>
      <c r="E252" s="2">
        <f t="shared" si="37"/>
        <v>0</v>
      </c>
      <c r="F252" s="3">
        <f t="shared" si="45"/>
        <v>110.58641312621589</v>
      </c>
      <c r="G252" s="2">
        <f t="shared" si="46"/>
        <v>0.81806237751867283</v>
      </c>
      <c r="H252" s="2">
        <f t="shared" si="38"/>
        <v>0</v>
      </c>
    </row>
    <row r="253" spans="1:8" x14ac:dyDescent="0.25">
      <c r="A253" t="s">
        <v>26</v>
      </c>
      <c r="B253">
        <v>8</v>
      </c>
      <c r="C253" s="3">
        <f t="shared" si="43"/>
        <v>6.0419999999999998</v>
      </c>
      <c r="D253" s="8">
        <f t="shared" si="44"/>
        <v>-2.2080000000000002</v>
      </c>
      <c r="E253" s="2">
        <f t="shared" si="37"/>
        <v>0</v>
      </c>
      <c r="F253" s="3">
        <f t="shared" si="45"/>
        <v>107.57548106058481</v>
      </c>
      <c r="G253" s="2">
        <f t="shared" si="46"/>
        <v>0.80293206563107944</v>
      </c>
      <c r="H253" s="2">
        <f t="shared" si="38"/>
        <v>0</v>
      </c>
    </row>
    <row r="254" spans="1:8" x14ac:dyDescent="0.25">
      <c r="A254" t="s">
        <v>26</v>
      </c>
      <c r="B254">
        <v>9</v>
      </c>
      <c r="C254" s="3">
        <f t="shared" si="43"/>
        <v>6.0419999999999998</v>
      </c>
      <c r="D254" s="8">
        <f t="shared" si="44"/>
        <v>-2.2080000000000002</v>
      </c>
      <c r="E254" s="2">
        <f t="shared" si="37"/>
        <v>0</v>
      </c>
      <c r="F254" s="3">
        <f t="shared" si="45"/>
        <v>104.57960365528189</v>
      </c>
      <c r="G254" s="2">
        <f t="shared" si="46"/>
        <v>0.78787740530292405</v>
      </c>
      <c r="H254" s="2">
        <f t="shared" si="38"/>
        <v>0</v>
      </c>
    </row>
    <row r="255" spans="1:8" x14ac:dyDescent="0.25">
      <c r="A255" t="s">
        <v>26</v>
      </c>
      <c r="B255">
        <v>10</v>
      </c>
      <c r="C255" s="3">
        <f t="shared" si="43"/>
        <v>6.0419999999999998</v>
      </c>
      <c r="D255" s="8">
        <f t="shared" si="44"/>
        <v>-2.2080000000000002</v>
      </c>
      <c r="E255" s="2">
        <f t="shared" si="37"/>
        <v>0</v>
      </c>
      <c r="F255" s="3">
        <f t="shared" si="45"/>
        <v>101.59870563700548</v>
      </c>
      <c r="G255" s="2">
        <f t="shared" si="46"/>
        <v>0.77289801827640947</v>
      </c>
      <c r="H255" s="2">
        <f t="shared" si="38"/>
        <v>0</v>
      </c>
    </row>
    <row r="256" spans="1:8" x14ac:dyDescent="0.25">
      <c r="A256" t="s">
        <v>26</v>
      </c>
      <c r="B256">
        <v>11</v>
      </c>
      <c r="C256" s="3">
        <f t="shared" si="43"/>
        <v>6.0419999999999998</v>
      </c>
      <c r="D256" s="8">
        <f t="shared" si="44"/>
        <v>-2.2080000000000002</v>
      </c>
      <c r="E256" s="2">
        <f t="shared" si="37"/>
        <v>0</v>
      </c>
      <c r="F256" s="3">
        <f t="shared" si="45"/>
        <v>98.632712108820456</v>
      </c>
      <c r="G256" s="2">
        <f t="shared" si="46"/>
        <v>0.75799352818502741</v>
      </c>
      <c r="H256" s="2">
        <f t="shared" si="38"/>
        <v>0</v>
      </c>
    </row>
    <row r="257" spans="1:8" x14ac:dyDescent="0.25">
      <c r="A257" t="s">
        <v>26</v>
      </c>
      <c r="B257">
        <v>12</v>
      </c>
      <c r="C257" s="3">
        <f t="shared" si="43"/>
        <v>6.0419999999999998</v>
      </c>
      <c r="D257" s="8">
        <f t="shared" si="44"/>
        <v>-2.2080000000000002</v>
      </c>
      <c r="E257" s="2">
        <f t="shared" si="37"/>
        <v>0</v>
      </c>
      <c r="F257" s="3">
        <f t="shared" si="45"/>
        <v>95.681548548276353</v>
      </c>
      <c r="G257" s="2">
        <f t="shared" si="46"/>
        <v>0.74316356054410226</v>
      </c>
      <c r="H257" s="2">
        <f t="shared" si="38"/>
        <v>0</v>
      </c>
    </row>
    <row r="258" spans="1:8" x14ac:dyDescent="0.25">
      <c r="A258" t="s">
        <v>26</v>
      </c>
      <c r="B258">
        <v>13</v>
      </c>
      <c r="C258" s="3">
        <f t="shared" si="43"/>
        <v>6.0419999999999998</v>
      </c>
      <c r="D258" s="8">
        <f t="shared" si="44"/>
        <v>-2.2080000000000002</v>
      </c>
      <c r="E258" s="2">
        <f t="shared" ref="E258:E321" si="47">IF(D258&gt;MinWastedPower,(D258-MinWastedPower)*RoundtripEfficiency,0)</f>
        <v>0</v>
      </c>
      <c r="F258" s="3">
        <f t="shared" si="45"/>
        <v>92.745140805534973</v>
      </c>
      <c r="G258" s="2">
        <f t="shared" si="46"/>
        <v>0.72840774274138176</v>
      </c>
      <c r="H258" s="2">
        <f t="shared" si="38"/>
        <v>0</v>
      </c>
    </row>
    <row r="259" spans="1:8" x14ac:dyDescent="0.25">
      <c r="A259" t="s">
        <v>26</v>
      </c>
      <c r="B259">
        <v>14</v>
      </c>
      <c r="C259" s="3">
        <f t="shared" si="43"/>
        <v>6.0419999999999998</v>
      </c>
      <c r="D259" s="8">
        <f t="shared" si="44"/>
        <v>-2.2080000000000002</v>
      </c>
      <c r="E259" s="2">
        <f t="shared" si="47"/>
        <v>0</v>
      </c>
      <c r="F259" s="3">
        <f t="shared" si="45"/>
        <v>89.823415101507294</v>
      </c>
      <c r="G259" s="2">
        <f t="shared" si="46"/>
        <v>0.71372570402767488</v>
      </c>
      <c r="H259" s="2">
        <f t="shared" si="38"/>
        <v>0</v>
      </c>
    </row>
    <row r="260" spans="1:8" x14ac:dyDescent="0.25">
      <c r="A260" t="s">
        <v>26</v>
      </c>
      <c r="B260">
        <v>15</v>
      </c>
      <c r="C260" s="3">
        <f t="shared" si="43"/>
        <v>6.0419999999999998</v>
      </c>
      <c r="D260" s="8">
        <f t="shared" si="44"/>
        <v>-2.2080000000000002</v>
      </c>
      <c r="E260" s="2">
        <f t="shared" si="47"/>
        <v>0</v>
      </c>
      <c r="F260" s="3">
        <f t="shared" si="45"/>
        <v>86.916298025999765</v>
      </c>
      <c r="G260" s="2">
        <f t="shared" si="46"/>
        <v>0.69911707550753643</v>
      </c>
      <c r="H260" s="2">
        <f t="shared" si="38"/>
        <v>0</v>
      </c>
    </row>
    <row r="261" spans="1:8" x14ac:dyDescent="0.25">
      <c r="A261" t="s">
        <v>26</v>
      </c>
      <c r="B261">
        <v>16</v>
      </c>
      <c r="C261" s="3">
        <f t="shared" si="43"/>
        <v>6.0419999999999998</v>
      </c>
      <c r="D261" s="8">
        <f t="shared" si="44"/>
        <v>-2.2080000000000002</v>
      </c>
      <c r="E261" s="2">
        <f t="shared" si="47"/>
        <v>0</v>
      </c>
      <c r="F261" s="3">
        <f t="shared" si="45"/>
        <v>84.023716535869767</v>
      </c>
      <c r="G261" s="2">
        <f t="shared" si="46"/>
        <v>0.68458149012999892</v>
      </c>
      <c r="H261" s="2">
        <f t="shared" si="38"/>
        <v>0</v>
      </c>
    </row>
    <row r="262" spans="1:8" x14ac:dyDescent="0.25">
      <c r="A262" t="s">
        <v>26</v>
      </c>
      <c r="B262">
        <v>17</v>
      </c>
      <c r="C262" s="3">
        <f t="shared" si="43"/>
        <v>6.0419999999999998</v>
      </c>
      <c r="D262" s="8">
        <f t="shared" si="44"/>
        <v>-2.2080000000000002</v>
      </c>
      <c r="E262" s="2">
        <f t="shared" si="47"/>
        <v>0</v>
      </c>
      <c r="F262" s="3">
        <f t="shared" si="45"/>
        <v>81.145597953190418</v>
      </c>
      <c r="G262" s="2">
        <f t="shared" si="46"/>
        <v>0.67011858267934876</v>
      </c>
      <c r="H262" s="2">
        <f t="shared" si="38"/>
        <v>0</v>
      </c>
    </row>
    <row r="263" spans="1:8" x14ac:dyDescent="0.25">
      <c r="A263" t="s">
        <v>26</v>
      </c>
      <c r="B263">
        <v>18</v>
      </c>
      <c r="C263" s="3">
        <f t="shared" si="43"/>
        <v>6.0419999999999998</v>
      </c>
      <c r="D263" s="8">
        <f t="shared" si="44"/>
        <v>-2.2080000000000002</v>
      </c>
      <c r="E263" s="2">
        <f t="shared" si="47"/>
        <v>0</v>
      </c>
      <c r="F263" s="3">
        <f t="shared" si="45"/>
        <v>78.281869963424469</v>
      </c>
      <c r="G263" s="2">
        <f t="shared" si="46"/>
        <v>0.65572798976595204</v>
      </c>
      <c r="H263" s="2">
        <f t="shared" si="38"/>
        <v>0</v>
      </c>
    </row>
    <row r="264" spans="1:8" x14ac:dyDescent="0.25">
      <c r="A264" t="s">
        <v>26</v>
      </c>
      <c r="B264">
        <v>19</v>
      </c>
      <c r="C264" s="3">
        <f t="shared" si="43"/>
        <v>6.0419999999999998</v>
      </c>
      <c r="D264" s="8">
        <f t="shared" si="44"/>
        <v>-2.2080000000000002</v>
      </c>
      <c r="E264" s="2">
        <f t="shared" si="47"/>
        <v>0</v>
      </c>
      <c r="F264" s="3">
        <f t="shared" si="45"/>
        <v>75.432460613607347</v>
      </c>
      <c r="G264" s="2">
        <f t="shared" si="46"/>
        <v>0.64140934981712228</v>
      </c>
      <c r="H264" s="2">
        <f t="shared" si="38"/>
        <v>0</v>
      </c>
    </row>
    <row r="265" spans="1:8" x14ac:dyDescent="0.25">
      <c r="A265" t="s">
        <v>26</v>
      </c>
      <c r="B265">
        <v>20</v>
      </c>
      <c r="C265" s="3">
        <f t="shared" si="43"/>
        <v>6.0419999999999998</v>
      </c>
      <c r="D265" s="8">
        <f t="shared" si="44"/>
        <v>-2.2080000000000002</v>
      </c>
      <c r="E265" s="2">
        <f t="shared" si="47"/>
        <v>0</v>
      </c>
      <c r="F265" s="3">
        <f t="shared" si="45"/>
        <v>72.597298310539315</v>
      </c>
      <c r="G265" s="2">
        <f t="shared" si="46"/>
        <v>0.62716230306803666</v>
      </c>
      <c r="H265" s="2">
        <f t="shared" si="38"/>
        <v>0</v>
      </c>
    </row>
    <row r="266" spans="1:8" x14ac:dyDescent="0.25">
      <c r="A266" t="s">
        <v>26</v>
      </c>
      <c r="B266">
        <v>21</v>
      </c>
      <c r="C266" s="3">
        <f t="shared" si="43"/>
        <v>6.0419999999999998</v>
      </c>
      <c r="D266" s="8">
        <f t="shared" si="44"/>
        <v>-2.2080000000000002</v>
      </c>
      <c r="E266" s="2">
        <f t="shared" si="47"/>
        <v>0</v>
      </c>
      <c r="F266" s="3">
        <f t="shared" si="45"/>
        <v>69.776311818986613</v>
      </c>
      <c r="G266" s="2">
        <f t="shared" si="46"/>
        <v>0.61298649155269658</v>
      </c>
      <c r="H266" s="2">
        <f t="shared" si="38"/>
        <v>0</v>
      </c>
    </row>
    <row r="267" spans="1:8" x14ac:dyDescent="0.25">
      <c r="A267" t="s">
        <v>26</v>
      </c>
      <c r="B267">
        <v>22</v>
      </c>
      <c r="C267" s="3">
        <f t="shared" si="43"/>
        <v>6.0419999999999998</v>
      </c>
      <c r="D267" s="8">
        <f t="shared" si="44"/>
        <v>-2.2080000000000002</v>
      </c>
      <c r="E267" s="2">
        <f t="shared" si="47"/>
        <v>0</v>
      </c>
      <c r="F267" s="3">
        <f t="shared" si="45"/>
        <v>66.969430259891681</v>
      </c>
      <c r="G267" s="2">
        <f t="shared" si="46"/>
        <v>0.59888155909493301</v>
      </c>
      <c r="H267" s="2">
        <f t="shared" si="38"/>
        <v>0</v>
      </c>
    </row>
    <row r="268" spans="1:8" x14ac:dyDescent="0.25">
      <c r="A268" t="s">
        <v>26</v>
      </c>
      <c r="B268">
        <v>23</v>
      </c>
      <c r="C268" s="3">
        <f t="shared" si="43"/>
        <v>6.0419999999999998</v>
      </c>
      <c r="D268" s="8">
        <f t="shared" si="44"/>
        <v>-2.2080000000000002</v>
      </c>
      <c r="E268" s="2">
        <f t="shared" si="47"/>
        <v>0</v>
      </c>
      <c r="F268" s="3">
        <f t="shared" si="45"/>
        <v>64.176583108592226</v>
      </c>
      <c r="G268" s="2">
        <f t="shared" si="46"/>
        <v>0.58484715129945841</v>
      </c>
      <c r="H268" s="2">
        <f t="shared" si="38"/>
        <v>0</v>
      </c>
    </row>
    <row r="269" spans="1:8" x14ac:dyDescent="0.25">
      <c r="A269" t="s">
        <v>26</v>
      </c>
      <c r="B269">
        <v>24</v>
      </c>
      <c r="C269" s="3">
        <f t="shared" si="43"/>
        <v>6.0419999999999998</v>
      </c>
      <c r="D269" s="8">
        <f t="shared" si="44"/>
        <v>-2.2080000000000002</v>
      </c>
      <c r="E269" s="2">
        <f t="shared" si="47"/>
        <v>0</v>
      </c>
      <c r="F269" s="3">
        <f t="shared" si="45"/>
        <v>61.397700193049268</v>
      </c>
      <c r="G269" s="2">
        <f t="shared" si="46"/>
        <v>0.57088291554296111</v>
      </c>
      <c r="H269" s="2">
        <f t="shared" si="38"/>
        <v>0</v>
      </c>
    </row>
    <row r="270" spans="1:8" x14ac:dyDescent="0.25">
      <c r="A270" t="s">
        <v>26</v>
      </c>
      <c r="B270">
        <v>25</v>
      </c>
      <c r="C270" s="3">
        <f t="shared" si="43"/>
        <v>6.0419999999999998</v>
      </c>
      <c r="D270" s="8">
        <f t="shared" si="44"/>
        <v>-2.2080000000000002</v>
      </c>
      <c r="E270" s="2">
        <f t="shared" si="47"/>
        <v>0</v>
      </c>
      <c r="F270" s="3">
        <f t="shared" si="45"/>
        <v>58.632711692084023</v>
      </c>
      <c r="G270" s="2">
        <f t="shared" si="46"/>
        <v>0.55698850096524632</v>
      </c>
      <c r="H270" s="2">
        <f t="shared" si="38"/>
        <v>0</v>
      </c>
    </row>
    <row r="271" spans="1:8" x14ac:dyDescent="0.25">
      <c r="A271" t="s">
        <v>26</v>
      </c>
      <c r="B271">
        <v>26</v>
      </c>
      <c r="C271" s="3">
        <f t="shared" si="43"/>
        <v>6.0419999999999998</v>
      </c>
      <c r="D271" s="8">
        <f t="shared" si="44"/>
        <v>-2.2080000000000002</v>
      </c>
      <c r="E271" s="2">
        <f t="shared" si="47"/>
        <v>0</v>
      </c>
      <c r="F271" s="3">
        <f t="shared" si="45"/>
        <v>55.881548133623603</v>
      </c>
      <c r="G271" s="2">
        <f t="shared" si="46"/>
        <v>0.54316355846042019</v>
      </c>
      <c r="H271" s="2">
        <f t="shared" si="38"/>
        <v>0</v>
      </c>
    </row>
    <row r="272" spans="1:8" x14ac:dyDescent="0.25">
      <c r="A272" t="s">
        <v>26</v>
      </c>
      <c r="B272">
        <v>27</v>
      </c>
      <c r="C272" s="3">
        <f t="shared" si="43"/>
        <v>6.0419999999999998</v>
      </c>
      <c r="D272" s="8">
        <f t="shared" si="44"/>
        <v>-2.2080000000000002</v>
      </c>
      <c r="E272" s="2">
        <f t="shared" si="47"/>
        <v>0</v>
      </c>
      <c r="F272" s="3">
        <f t="shared" si="45"/>
        <v>53.144140392955485</v>
      </c>
      <c r="G272" s="2">
        <f t="shared" si="46"/>
        <v>0.52940774066811802</v>
      </c>
      <c r="H272" s="2">
        <f t="shared" si="38"/>
        <v>0</v>
      </c>
    </row>
    <row r="273" spans="1:8" x14ac:dyDescent="0.25">
      <c r="A273" t="s">
        <v>26</v>
      </c>
      <c r="B273">
        <v>28</v>
      </c>
      <c r="C273" s="3">
        <f t="shared" si="43"/>
        <v>6.0419999999999998</v>
      </c>
      <c r="D273" s="8">
        <f t="shared" si="44"/>
        <v>-2.2080000000000002</v>
      </c>
      <c r="E273" s="2">
        <f t="shared" si="47"/>
        <v>0</v>
      </c>
      <c r="F273" s="3">
        <f t="shared" si="45"/>
        <v>50.420419690990713</v>
      </c>
      <c r="G273" s="2">
        <f t="shared" si="46"/>
        <v>0.51572070196477737</v>
      </c>
      <c r="H273" s="2">
        <f t="shared" si="38"/>
        <v>0</v>
      </c>
    </row>
    <row r="274" spans="1:8" x14ac:dyDescent="0.25">
      <c r="A274" t="s">
        <v>26</v>
      </c>
      <c r="B274">
        <v>29</v>
      </c>
      <c r="C274" s="3">
        <f t="shared" si="43"/>
        <v>6.0419999999999998</v>
      </c>
      <c r="D274" s="8">
        <f t="shared" si="44"/>
        <v>-2.2080000000000002</v>
      </c>
      <c r="E274" s="2">
        <f t="shared" si="47"/>
        <v>0</v>
      </c>
      <c r="F274" s="3">
        <f t="shared" si="45"/>
        <v>47.710317592535759</v>
      </c>
      <c r="G274" s="2">
        <f t="shared" si="46"/>
        <v>0.50210209845495357</v>
      </c>
      <c r="H274" s="2">
        <f t="shared" ref="H274:H337" si="48">IF(E274&gt;0,E274-G274-(F274-F273),0)</f>
        <v>0</v>
      </c>
    </row>
    <row r="275" spans="1:8" x14ac:dyDescent="0.25">
      <c r="A275" t="s">
        <v>26</v>
      </c>
      <c r="B275">
        <v>30</v>
      </c>
      <c r="C275" s="3">
        <f t="shared" si="43"/>
        <v>6.0419999999999998</v>
      </c>
      <c r="D275" s="8">
        <f t="shared" si="44"/>
        <v>-2.2080000000000002</v>
      </c>
      <c r="E275" s="2">
        <f t="shared" si="47"/>
        <v>0</v>
      </c>
      <c r="F275" s="3">
        <f t="shared" si="45"/>
        <v>45.013766004573078</v>
      </c>
      <c r="G275" s="2">
        <f t="shared" si="46"/>
        <v>0.48855158796267883</v>
      </c>
      <c r="H275" s="2">
        <f t="shared" si="48"/>
        <v>0</v>
      </c>
    </row>
    <row r="276" spans="1:8" x14ac:dyDescent="0.25">
      <c r="A276" t="s">
        <v>26</v>
      </c>
      <c r="B276">
        <v>31</v>
      </c>
      <c r="C276" s="3">
        <f t="shared" si="43"/>
        <v>6.0419999999999998</v>
      </c>
      <c r="D276" s="8">
        <f t="shared" si="44"/>
        <v>-2.2080000000000002</v>
      </c>
      <c r="E276" s="2">
        <f t="shared" si="47"/>
        <v>0</v>
      </c>
      <c r="F276" s="3">
        <f t="shared" si="45"/>
        <v>42.330697174550217</v>
      </c>
      <c r="G276" s="2">
        <f t="shared" si="46"/>
        <v>0.47506883002286537</v>
      </c>
      <c r="H276" s="2">
        <f t="shared" si="48"/>
        <v>0</v>
      </c>
    </row>
    <row r="277" spans="1:8" x14ac:dyDescent="0.25">
      <c r="A277" t="s">
        <v>15</v>
      </c>
      <c r="B277">
        <v>1</v>
      </c>
      <c r="C277" s="3">
        <f t="shared" ref="C277:C307" si="49">JanSunHours*SolarMaxGenCap*SolarEfficiency</f>
        <v>7.2959999999999994</v>
      </c>
      <c r="D277" s="8">
        <f t="shared" ref="D277:D307" si="50">(JanSunHours*(SolarMaxGenCap*SolarEfficiency))-JanPowerUse</f>
        <v>-0.95400000000000063</v>
      </c>
      <c r="E277" s="2">
        <f t="shared" si="47"/>
        <v>0</v>
      </c>
      <c r="F277" s="3">
        <f t="shared" ref="F277:F307" si="51">IF((F276*(1-JanDailyLossPct)-JanDailyLossAbs)+E277&gt;MaxPowerStore,MaxPowerStore,(IF(F276+E277&gt;0.1,(F276*(1-JanDailyLossPct)-JanDailyLossAbs)+ (IF(D277&lt;0,D277,E277)),0)))</f>
        <v>40.915043688677464</v>
      </c>
      <c r="G277" s="2">
        <f t="shared" ref="G277:G307" si="52">IF(F277&gt;0,JanDailyLossAbs+(F276*JanDailyLossPct),0)</f>
        <v>0.46165348587275112</v>
      </c>
      <c r="H277" s="2">
        <f t="shared" si="48"/>
        <v>0</v>
      </c>
    </row>
    <row r="278" spans="1:8" x14ac:dyDescent="0.25">
      <c r="A278" t="s">
        <v>15</v>
      </c>
      <c r="B278">
        <v>2</v>
      </c>
      <c r="C278" s="3">
        <f t="shared" si="49"/>
        <v>7.2959999999999994</v>
      </c>
      <c r="D278" s="8">
        <f t="shared" si="50"/>
        <v>-0.95400000000000063</v>
      </c>
      <c r="E278" s="2">
        <f t="shared" si="47"/>
        <v>0</v>
      </c>
      <c r="F278" s="3">
        <f t="shared" si="51"/>
        <v>39.506468470234076</v>
      </c>
      <c r="G278" s="2">
        <f t="shared" si="52"/>
        <v>0.45457521844338733</v>
      </c>
      <c r="H278" s="2">
        <f t="shared" si="48"/>
        <v>0</v>
      </c>
    </row>
    <row r="279" spans="1:8" x14ac:dyDescent="0.25">
      <c r="A279" t="s">
        <v>15</v>
      </c>
      <c r="B279">
        <v>3</v>
      </c>
      <c r="C279" s="3">
        <f t="shared" si="49"/>
        <v>7.2959999999999994</v>
      </c>
      <c r="D279" s="8">
        <f t="shared" si="50"/>
        <v>-0.95400000000000063</v>
      </c>
      <c r="E279" s="2">
        <f t="shared" si="47"/>
        <v>0</v>
      </c>
      <c r="F279" s="3">
        <f t="shared" si="51"/>
        <v>38.104936127882901</v>
      </c>
      <c r="G279" s="2">
        <f t="shared" si="52"/>
        <v>0.44753234235117034</v>
      </c>
      <c r="H279" s="2">
        <f t="shared" si="48"/>
        <v>0</v>
      </c>
    </row>
    <row r="280" spans="1:8" x14ac:dyDescent="0.25">
      <c r="A280" t="s">
        <v>15</v>
      </c>
      <c r="B280">
        <v>4</v>
      </c>
      <c r="C280" s="3">
        <f t="shared" si="49"/>
        <v>7.2959999999999994</v>
      </c>
      <c r="D280" s="8">
        <f t="shared" si="50"/>
        <v>-0.95400000000000063</v>
      </c>
      <c r="E280" s="2">
        <f t="shared" si="47"/>
        <v>0</v>
      </c>
      <c r="F280" s="3">
        <f t="shared" si="51"/>
        <v>36.710411447243487</v>
      </c>
      <c r="G280" s="2">
        <f t="shared" si="52"/>
        <v>0.44052468063941452</v>
      </c>
      <c r="H280" s="2">
        <f t="shared" si="48"/>
        <v>0</v>
      </c>
    </row>
    <row r="281" spans="1:8" x14ac:dyDescent="0.25">
      <c r="A281" t="s">
        <v>15</v>
      </c>
      <c r="B281">
        <v>5</v>
      </c>
      <c r="C281" s="3">
        <f t="shared" si="49"/>
        <v>7.2959999999999994</v>
      </c>
      <c r="D281" s="8">
        <f t="shared" si="50"/>
        <v>-0.95400000000000063</v>
      </c>
      <c r="E281" s="2">
        <f t="shared" si="47"/>
        <v>0</v>
      </c>
      <c r="F281" s="3">
        <f t="shared" si="51"/>
        <v>35.322859390007267</v>
      </c>
      <c r="G281" s="2">
        <f t="shared" si="52"/>
        <v>0.43355205723621748</v>
      </c>
      <c r="H281" s="2">
        <f t="shared" si="48"/>
        <v>0</v>
      </c>
    </row>
    <row r="282" spans="1:8" x14ac:dyDescent="0.25">
      <c r="A282" t="s">
        <v>15</v>
      </c>
      <c r="B282">
        <v>6</v>
      </c>
      <c r="C282" s="3">
        <f t="shared" si="49"/>
        <v>7.2959999999999994</v>
      </c>
      <c r="D282" s="8">
        <f t="shared" si="50"/>
        <v>-0.95400000000000063</v>
      </c>
      <c r="E282" s="2">
        <f t="shared" si="47"/>
        <v>0</v>
      </c>
      <c r="F282" s="3">
        <f t="shared" si="51"/>
        <v>33.942245093057231</v>
      </c>
      <c r="G282" s="2">
        <f t="shared" si="52"/>
        <v>0.42661429695003633</v>
      </c>
      <c r="H282" s="2">
        <f t="shared" si="48"/>
        <v>0</v>
      </c>
    </row>
    <row r="283" spans="1:8" x14ac:dyDescent="0.25">
      <c r="A283" t="s">
        <v>15</v>
      </c>
      <c r="B283">
        <v>7</v>
      </c>
      <c r="C283" s="3">
        <f t="shared" si="49"/>
        <v>7.2959999999999994</v>
      </c>
      <c r="D283" s="8">
        <f t="shared" si="50"/>
        <v>-0.95400000000000063</v>
      </c>
      <c r="E283" s="2">
        <f t="shared" si="47"/>
        <v>0</v>
      </c>
      <c r="F283" s="3">
        <f t="shared" si="51"/>
        <v>32.568533867591945</v>
      </c>
      <c r="G283" s="2">
        <f t="shared" si="52"/>
        <v>0.41971122546528616</v>
      </c>
      <c r="H283" s="2">
        <f t="shared" si="48"/>
        <v>0</v>
      </c>
    </row>
    <row r="284" spans="1:8" x14ac:dyDescent="0.25">
      <c r="A284" t="s">
        <v>15</v>
      </c>
      <c r="B284">
        <v>8</v>
      </c>
      <c r="C284" s="3">
        <f t="shared" si="49"/>
        <v>7.2959999999999994</v>
      </c>
      <c r="D284" s="8">
        <f t="shared" si="50"/>
        <v>-0.95400000000000063</v>
      </c>
      <c r="E284" s="2">
        <f t="shared" si="47"/>
        <v>0</v>
      </c>
      <c r="F284" s="3">
        <f t="shared" si="51"/>
        <v>31.201691198253982</v>
      </c>
      <c r="G284" s="2">
        <f t="shared" si="52"/>
        <v>0.41284266933795977</v>
      </c>
      <c r="H284" s="2">
        <f t="shared" si="48"/>
        <v>0</v>
      </c>
    </row>
    <row r="285" spans="1:8" x14ac:dyDescent="0.25">
      <c r="A285" t="s">
        <v>15</v>
      </c>
      <c r="B285">
        <v>9</v>
      </c>
      <c r="C285" s="3">
        <f t="shared" si="49"/>
        <v>7.2959999999999994</v>
      </c>
      <c r="D285" s="8">
        <f t="shared" si="50"/>
        <v>-0.95400000000000063</v>
      </c>
      <c r="E285" s="2">
        <f t="shared" si="47"/>
        <v>0</v>
      </c>
      <c r="F285" s="3">
        <f t="shared" si="51"/>
        <v>29.841682742262712</v>
      </c>
      <c r="G285" s="2">
        <f t="shared" si="52"/>
        <v>0.40600845599126989</v>
      </c>
      <c r="H285" s="2">
        <f t="shared" si="48"/>
        <v>0</v>
      </c>
    </row>
    <row r="286" spans="1:8" x14ac:dyDescent="0.25">
      <c r="A286" t="s">
        <v>15</v>
      </c>
      <c r="B286">
        <v>10</v>
      </c>
      <c r="C286" s="3">
        <f t="shared" si="49"/>
        <v>7.2959999999999994</v>
      </c>
      <c r="D286" s="8">
        <f t="shared" si="50"/>
        <v>-0.95400000000000063</v>
      </c>
      <c r="E286" s="2">
        <f t="shared" si="47"/>
        <v>0</v>
      </c>
      <c r="F286" s="3">
        <f t="shared" si="51"/>
        <v>28.488474328551398</v>
      </c>
      <c r="G286" s="2">
        <f t="shared" si="52"/>
        <v>0.39920841371131355</v>
      </c>
      <c r="H286" s="2">
        <f t="shared" si="48"/>
        <v>0</v>
      </c>
    </row>
    <row r="287" spans="1:8" x14ac:dyDescent="0.25">
      <c r="A287" t="s">
        <v>15</v>
      </c>
      <c r="B287">
        <v>11</v>
      </c>
      <c r="C287" s="3">
        <f t="shared" si="49"/>
        <v>7.2959999999999994</v>
      </c>
      <c r="D287" s="8">
        <f t="shared" si="50"/>
        <v>-0.95400000000000063</v>
      </c>
      <c r="E287" s="2">
        <f t="shared" si="47"/>
        <v>0</v>
      </c>
      <c r="F287" s="3">
        <f t="shared" si="51"/>
        <v>27.142031956908639</v>
      </c>
      <c r="G287" s="2">
        <f t="shared" si="52"/>
        <v>0.39244237164275697</v>
      </c>
      <c r="H287" s="2">
        <f t="shared" si="48"/>
        <v>0</v>
      </c>
    </row>
    <row r="288" spans="1:8" x14ac:dyDescent="0.25">
      <c r="A288" t="s">
        <v>15</v>
      </c>
      <c r="B288">
        <v>12</v>
      </c>
      <c r="C288" s="3">
        <f t="shared" si="49"/>
        <v>7.2959999999999994</v>
      </c>
      <c r="D288" s="8">
        <f t="shared" si="50"/>
        <v>-0.95400000000000063</v>
      </c>
      <c r="E288" s="2">
        <f t="shared" si="47"/>
        <v>0</v>
      </c>
      <c r="F288" s="3">
        <f t="shared" si="51"/>
        <v>25.802321797124094</v>
      </c>
      <c r="G288" s="2">
        <f t="shared" si="52"/>
        <v>0.38571015978454321</v>
      </c>
      <c r="H288" s="2">
        <f t="shared" si="48"/>
        <v>0</v>
      </c>
    </row>
    <row r="289" spans="1:8" x14ac:dyDescent="0.25">
      <c r="A289" t="s">
        <v>15</v>
      </c>
      <c r="B289">
        <v>13</v>
      </c>
      <c r="C289" s="3">
        <f t="shared" si="49"/>
        <v>7.2959999999999994</v>
      </c>
      <c r="D289" s="8">
        <f t="shared" si="50"/>
        <v>-0.95400000000000063</v>
      </c>
      <c r="E289" s="2">
        <f t="shared" si="47"/>
        <v>0</v>
      </c>
      <c r="F289" s="3">
        <f t="shared" si="51"/>
        <v>24.469310188138472</v>
      </c>
      <c r="G289" s="2">
        <f t="shared" si="52"/>
        <v>0.37901160898562047</v>
      </c>
      <c r="H289" s="2">
        <f t="shared" si="48"/>
        <v>0</v>
      </c>
    </row>
    <row r="290" spans="1:8" x14ac:dyDescent="0.25">
      <c r="A290" t="s">
        <v>15</v>
      </c>
      <c r="B290">
        <v>14</v>
      </c>
      <c r="C290" s="3">
        <f t="shared" si="49"/>
        <v>7.2959999999999994</v>
      </c>
      <c r="D290" s="8">
        <f t="shared" si="50"/>
        <v>-0.95400000000000063</v>
      </c>
      <c r="E290" s="2">
        <f t="shared" si="47"/>
        <v>0</v>
      </c>
      <c r="F290" s="3">
        <f t="shared" si="51"/>
        <v>23.142963637197777</v>
      </c>
      <c r="G290" s="2">
        <f t="shared" si="52"/>
        <v>0.37234655094069236</v>
      </c>
      <c r="H290" s="2">
        <f t="shared" si="48"/>
        <v>0</v>
      </c>
    </row>
    <row r="291" spans="1:8" x14ac:dyDescent="0.25">
      <c r="A291" t="s">
        <v>15</v>
      </c>
      <c r="B291">
        <v>15</v>
      </c>
      <c r="C291" s="3">
        <f t="shared" si="49"/>
        <v>7.2959999999999994</v>
      </c>
      <c r="D291" s="8">
        <f t="shared" si="50"/>
        <v>-0.95400000000000063</v>
      </c>
      <c r="E291" s="2">
        <f t="shared" si="47"/>
        <v>0</v>
      </c>
      <c r="F291" s="3">
        <f t="shared" si="51"/>
        <v>21.823248819011788</v>
      </c>
      <c r="G291" s="2">
        <f t="shared" si="52"/>
        <v>0.36571481818598889</v>
      </c>
      <c r="H291" s="2">
        <f t="shared" si="48"/>
        <v>0</v>
      </c>
    </row>
    <row r="292" spans="1:8" x14ac:dyDescent="0.25">
      <c r="A292" t="s">
        <v>15</v>
      </c>
      <c r="B292">
        <v>16</v>
      </c>
      <c r="C292" s="3">
        <f t="shared" si="49"/>
        <v>7.2959999999999994</v>
      </c>
      <c r="D292" s="8">
        <f t="shared" si="50"/>
        <v>-0.95400000000000063</v>
      </c>
      <c r="E292" s="2">
        <f t="shared" si="47"/>
        <v>0</v>
      </c>
      <c r="F292" s="3">
        <f t="shared" si="51"/>
        <v>20.510132574916728</v>
      </c>
      <c r="G292" s="2">
        <f t="shared" si="52"/>
        <v>0.35911624409505893</v>
      </c>
      <c r="H292" s="2">
        <f t="shared" si="48"/>
        <v>0</v>
      </c>
    </row>
    <row r="293" spans="1:8" x14ac:dyDescent="0.25">
      <c r="A293" t="s">
        <v>15</v>
      </c>
      <c r="B293">
        <v>17</v>
      </c>
      <c r="C293" s="3">
        <f t="shared" si="49"/>
        <v>7.2959999999999994</v>
      </c>
      <c r="D293" s="8">
        <f t="shared" si="50"/>
        <v>-0.95400000000000063</v>
      </c>
      <c r="E293" s="2">
        <f t="shared" si="47"/>
        <v>0</v>
      </c>
      <c r="F293" s="3">
        <f t="shared" si="51"/>
        <v>19.203581912042143</v>
      </c>
      <c r="G293" s="2">
        <f t="shared" si="52"/>
        <v>0.35255066287458364</v>
      </c>
      <c r="H293" s="2">
        <f t="shared" si="48"/>
        <v>0</v>
      </c>
    </row>
    <row r="294" spans="1:8" x14ac:dyDescent="0.25">
      <c r="A294" t="s">
        <v>15</v>
      </c>
      <c r="B294">
        <v>18</v>
      </c>
      <c r="C294" s="3">
        <f t="shared" si="49"/>
        <v>7.2959999999999994</v>
      </c>
      <c r="D294" s="8">
        <f t="shared" si="50"/>
        <v>-0.95400000000000063</v>
      </c>
      <c r="E294" s="2">
        <f t="shared" si="47"/>
        <v>0</v>
      </c>
      <c r="F294" s="3">
        <f t="shared" si="51"/>
        <v>17.903564002481932</v>
      </c>
      <c r="G294" s="2">
        <f t="shared" si="52"/>
        <v>0.34601790956021072</v>
      </c>
      <c r="H294" s="2">
        <f t="shared" si="48"/>
        <v>0</v>
      </c>
    </row>
    <row r="295" spans="1:8" x14ac:dyDescent="0.25">
      <c r="A295" t="s">
        <v>15</v>
      </c>
      <c r="B295">
        <v>19</v>
      </c>
      <c r="C295" s="3">
        <f t="shared" si="49"/>
        <v>7.2959999999999994</v>
      </c>
      <c r="D295" s="8">
        <f t="shared" si="50"/>
        <v>-0.95400000000000063</v>
      </c>
      <c r="E295" s="2">
        <f t="shared" si="47"/>
        <v>0</v>
      </c>
      <c r="F295" s="3">
        <f t="shared" si="51"/>
        <v>16.610046182469521</v>
      </c>
      <c r="G295" s="2">
        <f t="shared" si="52"/>
        <v>0.33951782001240965</v>
      </c>
      <c r="H295" s="2">
        <f t="shared" si="48"/>
        <v>0</v>
      </c>
    </row>
    <row r="296" spans="1:8" x14ac:dyDescent="0.25">
      <c r="A296" t="s">
        <v>15</v>
      </c>
      <c r="B296">
        <v>20</v>
      </c>
      <c r="C296" s="3">
        <f t="shared" si="49"/>
        <v>7.2959999999999994</v>
      </c>
      <c r="D296" s="8">
        <f t="shared" si="50"/>
        <v>-0.95400000000000063</v>
      </c>
      <c r="E296" s="2">
        <f t="shared" si="47"/>
        <v>0</v>
      </c>
      <c r="F296" s="3">
        <f t="shared" si="51"/>
        <v>15.322995951557171</v>
      </c>
      <c r="G296" s="2">
        <f t="shared" si="52"/>
        <v>0.33305023091234759</v>
      </c>
      <c r="H296" s="2">
        <f t="shared" si="48"/>
        <v>0</v>
      </c>
    </row>
    <row r="297" spans="1:8" x14ac:dyDescent="0.25">
      <c r="A297" t="s">
        <v>15</v>
      </c>
      <c r="B297">
        <v>21</v>
      </c>
      <c r="C297" s="3">
        <f t="shared" si="49"/>
        <v>7.2959999999999994</v>
      </c>
      <c r="D297" s="8">
        <f t="shared" si="50"/>
        <v>-0.95400000000000063</v>
      </c>
      <c r="E297" s="2">
        <f t="shared" si="47"/>
        <v>0</v>
      </c>
      <c r="F297" s="3">
        <f t="shared" si="51"/>
        <v>14.042380971799385</v>
      </c>
      <c r="G297" s="2">
        <f t="shared" si="52"/>
        <v>0.32661497975778586</v>
      </c>
      <c r="H297" s="2">
        <f t="shared" si="48"/>
        <v>0</v>
      </c>
    </row>
    <row r="298" spans="1:8" x14ac:dyDescent="0.25">
      <c r="A298" t="s">
        <v>15</v>
      </c>
      <c r="B298">
        <v>22</v>
      </c>
      <c r="C298" s="3">
        <f t="shared" si="49"/>
        <v>7.2959999999999994</v>
      </c>
      <c r="D298" s="8">
        <f t="shared" si="50"/>
        <v>-0.95400000000000063</v>
      </c>
      <c r="E298" s="2">
        <f t="shared" si="47"/>
        <v>0</v>
      </c>
      <c r="F298" s="3">
        <f t="shared" si="51"/>
        <v>12.768169066940388</v>
      </c>
      <c r="G298" s="2">
        <f t="shared" si="52"/>
        <v>0.32021190485899692</v>
      </c>
      <c r="H298" s="2">
        <f t="shared" si="48"/>
        <v>0</v>
      </c>
    </row>
    <row r="299" spans="1:8" x14ac:dyDescent="0.25">
      <c r="A299" t="s">
        <v>15</v>
      </c>
      <c r="B299">
        <v>23</v>
      </c>
      <c r="C299" s="3">
        <f t="shared" si="49"/>
        <v>7.2959999999999994</v>
      </c>
      <c r="D299" s="8">
        <f t="shared" si="50"/>
        <v>-0.95400000000000063</v>
      </c>
      <c r="E299" s="2">
        <f t="shared" si="47"/>
        <v>0</v>
      </c>
      <c r="F299" s="3">
        <f t="shared" si="51"/>
        <v>11.500328221605685</v>
      </c>
      <c r="G299" s="2">
        <f t="shared" si="52"/>
        <v>0.31384084533470191</v>
      </c>
      <c r="H299" s="2">
        <f t="shared" si="48"/>
        <v>0</v>
      </c>
    </row>
    <row r="300" spans="1:8" x14ac:dyDescent="0.25">
      <c r="A300" t="s">
        <v>15</v>
      </c>
      <c r="B300">
        <v>24</v>
      </c>
      <c r="C300" s="3">
        <f t="shared" si="49"/>
        <v>7.2959999999999994</v>
      </c>
      <c r="D300" s="8">
        <f t="shared" si="50"/>
        <v>-0.95400000000000063</v>
      </c>
      <c r="E300" s="2">
        <f t="shared" si="47"/>
        <v>0</v>
      </c>
      <c r="F300" s="3">
        <f t="shared" si="51"/>
        <v>10.238826580497655</v>
      </c>
      <c r="G300" s="2">
        <f t="shared" si="52"/>
        <v>0.30750164110802841</v>
      </c>
      <c r="H300" s="2">
        <f t="shared" si="48"/>
        <v>0</v>
      </c>
    </row>
    <row r="301" spans="1:8" x14ac:dyDescent="0.25">
      <c r="A301" t="s">
        <v>15</v>
      </c>
      <c r="B301">
        <v>25</v>
      </c>
      <c r="C301" s="3">
        <f t="shared" si="49"/>
        <v>7.2959999999999994</v>
      </c>
      <c r="D301" s="8">
        <f t="shared" si="50"/>
        <v>-0.95400000000000063</v>
      </c>
      <c r="E301" s="2">
        <f t="shared" si="47"/>
        <v>0</v>
      </c>
      <c r="F301" s="3">
        <f t="shared" si="51"/>
        <v>8.9836324475951663</v>
      </c>
      <c r="G301" s="2">
        <f t="shared" si="52"/>
        <v>0.30119413290248825</v>
      </c>
      <c r="H301" s="2">
        <f t="shared" si="48"/>
        <v>0</v>
      </c>
    </row>
    <row r="302" spans="1:8" x14ac:dyDescent="0.25">
      <c r="A302" t="s">
        <v>15</v>
      </c>
      <c r="B302">
        <v>26</v>
      </c>
      <c r="C302" s="3">
        <f t="shared" si="49"/>
        <v>7.2959999999999994</v>
      </c>
      <c r="D302" s="8">
        <f t="shared" si="50"/>
        <v>-0.95400000000000063</v>
      </c>
      <c r="E302" s="2">
        <f t="shared" si="47"/>
        <v>0</v>
      </c>
      <c r="F302" s="3">
        <f t="shared" si="51"/>
        <v>7.7347142853571906</v>
      </c>
      <c r="G302" s="2">
        <f t="shared" si="52"/>
        <v>0.29491816223797584</v>
      </c>
      <c r="H302" s="2">
        <f t="shared" si="48"/>
        <v>0</v>
      </c>
    </row>
    <row r="303" spans="1:8" x14ac:dyDescent="0.25">
      <c r="A303" t="s">
        <v>15</v>
      </c>
      <c r="B303">
        <v>27</v>
      </c>
      <c r="C303" s="3">
        <f t="shared" si="49"/>
        <v>7.2959999999999994</v>
      </c>
      <c r="D303" s="8">
        <f t="shared" si="50"/>
        <v>-0.95400000000000063</v>
      </c>
      <c r="E303" s="2">
        <f t="shared" si="47"/>
        <v>0</v>
      </c>
      <c r="F303" s="3">
        <f t="shared" si="51"/>
        <v>6.4920407139304039</v>
      </c>
      <c r="G303" s="2">
        <f t="shared" si="52"/>
        <v>0.28867357142678596</v>
      </c>
      <c r="H303" s="2">
        <f t="shared" si="48"/>
        <v>0</v>
      </c>
    </row>
    <row r="304" spans="1:8" x14ac:dyDescent="0.25">
      <c r="A304" t="s">
        <v>15</v>
      </c>
      <c r="B304">
        <v>28</v>
      </c>
      <c r="C304" s="3">
        <f t="shared" si="49"/>
        <v>7.2959999999999994</v>
      </c>
      <c r="D304" s="8">
        <f t="shared" si="50"/>
        <v>-0.95400000000000063</v>
      </c>
      <c r="E304" s="2">
        <f t="shared" si="47"/>
        <v>0</v>
      </c>
      <c r="F304" s="3">
        <f t="shared" si="51"/>
        <v>5.2555805103607511</v>
      </c>
      <c r="G304" s="2">
        <f t="shared" si="52"/>
        <v>0.28246020356965201</v>
      </c>
      <c r="H304" s="2">
        <f t="shared" si="48"/>
        <v>0</v>
      </c>
    </row>
    <row r="305" spans="1:8" x14ac:dyDescent="0.25">
      <c r="A305" t="s">
        <v>15</v>
      </c>
      <c r="B305">
        <v>29</v>
      </c>
      <c r="C305" s="3">
        <f t="shared" si="49"/>
        <v>7.2959999999999994</v>
      </c>
      <c r="D305" s="8">
        <f t="shared" si="50"/>
        <v>-0.95400000000000063</v>
      </c>
      <c r="E305" s="2">
        <f t="shared" si="47"/>
        <v>0</v>
      </c>
      <c r="F305" s="3">
        <f t="shared" si="51"/>
        <v>4.0253026078089471</v>
      </c>
      <c r="G305" s="2">
        <f t="shared" si="52"/>
        <v>0.27627790255180373</v>
      </c>
      <c r="H305" s="2">
        <f t="shared" si="48"/>
        <v>0</v>
      </c>
    </row>
    <row r="306" spans="1:8" x14ac:dyDescent="0.25">
      <c r="A306" t="s">
        <v>15</v>
      </c>
      <c r="B306">
        <v>30</v>
      </c>
      <c r="C306" s="3">
        <f t="shared" si="49"/>
        <v>7.2959999999999994</v>
      </c>
      <c r="D306" s="8">
        <f t="shared" si="50"/>
        <v>-0.95400000000000063</v>
      </c>
      <c r="E306" s="2">
        <f t="shared" si="47"/>
        <v>0</v>
      </c>
      <c r="F306" s="3">
        <f t="shared" si="51"/>
        <v>2.801176094769902</v>
      </c>
      <c r="G306" s="2">
        <f t="shared" si="52"/>
        <v>0.27012651303904472</v>
      </c>
      <c r="H306" s="2">
        <f t="shared" si="48"/>
        <v>0</v>
      </c>
    </row>
    <row r="307" spans="1:8" x14ac:dyDescent="0.25">
      <c r="A307" t="s">
        <v>15</v>
      </c>
      <c r="B307">
        <v>31</v>
      </c>
      <c r="C307" s="3">
        <f t="shared" si="49"/>
        <v>7.2959999999999994</v>
      </c>
      <c r="D307" s="8">
        <f t="shared" si="50"/>
        <v>-0.95400000000000063</v>
      </c>
      <c r="E307" s="2">
        <f t="shared" si="47"/>
        <v>0</v>
      </c>
      <c r="F307" s="3">
        <f t="shared" si="51"/>
        <v>1.583170214296052</v>
      </c>
      <c r="G307" s="2">
        <f t="shared" si="52"/>
        <v>0.26400588047384949</v>
      </c>
      <c r="H307" s="2">
        <f t="shared" si="48"/>
        <v>0</v>
      </c>
    </row>
    <row r="308" spans="1:8" x14ac:dyDescent="0.25">
      <c r="A308" t="s">
        <v>16</v>
      </c>
      <c r="B308">
        <v>1</v>
      </c>
      <c r="C308" s="3">
        <f t="shared" ref="C308:C335" si="53">FebSunHours*SolarMaxGenCap*SolarEfficiency</f>
        <v>12.654</v>
      </c>
      <c r="D308" s="8">
        <f t="shared" ref="D308:D335" si="54">(FebSunHours*(SolarMaxGenCap*SolarEfficiency))-FebPowerUse</f>
        <v>3.1539999999999999</v>
      </c>
      <c r="E308" s="2">
        <f t="shared" si="47"/>
        <v>1.5269999999999999</v>
      </c>
      <c r="F308" s="3">
        <f t="shared" ref="F308:F335" si="55">IF((F307*(1-FebDailyLossPct)-FebDailyLossAbs)+E308&gt;MaxPowerStore,MaxPowerStore,(IF(F307+E308&gt;0.1,(F307*(1-FebDailyLossPct)-FebDailyLossAbs)+ (IF(D308&lt;0,D308,E308)),0)))</f>
        <v>2.8522543632245716</v>
      </c>
      <c r="G308" s="2">
        <f t="shared" ref="G308:G335" si="56">IF(F308&gt;0,FebDailyLossAbs+(F307*FebDailyLossPct),0)</f>
        <v>0.25791585107148024</v>
      </c>
      <c r="H308" s="2">
        <f>IF(E308&gt;0,E308-G308-(F308-F307),0)</f>
        <v>0</v>
      </c>
    </row>
    <row r="309" spans="1:8" x14ac:dyDescent="0.25">
      <c r="A309" t="s">
        <v>16</v>
      </c>
      <c r="B309">
        <v>2</v>
      </c>
      <c r="C309" s="3">
        <f t="shared" si="53"/>
        <v>12.654</v>
      </c>
      <c r="D309" s="8">
        <f t="shared" si="54"/>
        <v>3.1539999999999999</v>
      </c>
      <c r="E309" s="2">
        <f t="shared" si="47"/>
        <v>1.5269999999999999</v>
      </c>
      <c r="F309" s="3">
        <f t="shared" si="55"/>
        <v>4.1149930914084489</v>
      </c>
      <c r="G309" s="2">
        <f t="shared" si="56"/>
        <v>0.26426127181612286</v>
      </c>
      <c r="H309" s="2">
        <f t="shared" si="48"/>
        <v>-2.2204460492503131E-16</v>
      </c>
    </row>
    <row r="310" spans="1:8" x14ac:dyDescent="0.25">
      <c r="A310" t="s">
        <v>16</v>
      </c>
      <c r="B310">
        <v>3</v>
      </c>
      <c r="C310" s="3">
        <f t="shared" si="53"/>
        <v>12.654</v>
      </c>
      <c r="D310" s="8">
        <f t="shared" si="54"/>
        <v>3.1539999999999999</v>
      </c>
      <c r="E310" s="2">
        <f t="shared" si="47"/>
        <v>1.5269999999999999</v>
      </c>
      <c r="F310" s="3">
        <f t="shared" si="55"/>
        <v>5.3714181259514069</v>
      </c>
      <c r="G310" s="2">
        <f t="shared" si="56"/>
        <v>0.27057496545704224</v>
      </c>
      <c r="H310" s="2">
        <f t="shared" si="48"/>
        <v>-2.2204460492503131E-16</v>
      </c>
    </row>
    <row r="311" spans="1:8" x14ac:dyDescent="0.25">
      <c r="A311" t="s">
        <v>16</v>
      </c>
      <c r="B311">
        <v>4</v>
      </c>
      <c r="C311" s="3">
        <f t="shared" si="53"/>
        <v>12.654</v>
      </c>
      <c r="D311" s="8">
        <f t="shared" si="54"/>
        <v>3.1539999999999999</v>
      </c>
      <c r="E311" s="2">
        <f t="shared" si="47"/>
        <v>1.5269999999999999</v>
      </c>
      <c r="F311" s="3">
        <f t="shared" si="55"/>
        <v>6.6215610353216503</v>
      </c>
      <c r="G311" s="2">
        <f t="shared" si="56"/>
        <v>0.27685709062975705</v>
      </c>
      <c r="H311" s="2">
        <f t="shared" si="48"/>
        <v>-4.4408920985006262E-16</v>
      </c>
    </row>
    <row r="312" spans="1:8" x14ac:dyDescent="0.25">
      <c r="A312" t="s">
        <v>16</v>
      </c>
      <c r="B312">
        <v>5</v>
      </c>
      <c r="C312" s="3">
        <f t="shared" si="53"/>
        <v>12.654</v>
      </c>
      <c r="D312" s="8">
        <f t="shared" si="54"/>
        <v>3.1539999999999999</v>
      </c>
      <c r="E312" s="2">
        <f t="shared" si="47"/>
        <v>1.5269999999999999</v>
      </c>
      <c r="F312" s="3">
        <f t="shared" si="55"/>
        <v>7.8654532301450422</v>
      </c>
      <c r="G312" s="2">
        <f t="shared" si="56"/>
        <v>0.28310780517660827</v>
      </c>
      <c r="H312" s="2">
        <f t="shared" si="48"/>
        <v>-2.2204460492503131E-16</v>
      </c>
    </row>
    <row r="313" spans="1:8" x14ac:dyDescent="0.25">
      <c r="A313" t="s">
        <v>16</v>
      </c>
      <c r="B313">
        <v>6</v>
      </c>
      <c r="C313" s="3">
        <f t="shared" si="53"/>
        <v>12.654</v>
      </c>
      <c r="D313" s="8">
        <f t="shared" si="54"/>
        <v>3.1539999999999999</v>
      </c>
      <c r="E313" s="2">
        <f t="shared" si="47"/>
        <v>1.5269999999999999</v>
      </c>
      <c r="F313" s="3">
        <f t="shared" si="55"/>
        <v>9.1031259639943158</v>
      </c>
      <c r="G313" s="2">
        <f t="shared" si="56"/>
        <v>0.28932726615072524</v>
      </c>
      <c r="H313" s="2">
        <f t="shared" si="48"/>
        <v>8.8817841970012523E-16</v>
      </c>
    </row>
    <row r="314" spans="1:8" x14ac:dyDescent="0.25">
      <c r="A314" t="s">
        <v>16</v>
      </c>
      <c r="B314">
        <v>7</v>
      </c>
      <c r="C314" s="3">
        <f t="shared" si="53"/>
        <v>12.654</v>
      </c>
      <c r="D314" s="8">
        <f t="shared" si="54"/>
        <v>3.1539999999999999</v>
      </c>
      <c r="E314" s="2">
        <f t="shared" si="47"/>
        <v>1.5269999999999999</v>
      </c>
      <c r="F314" s="3">
        <f t="shared" si="55"/>
        <v>10.334610334174343</v>
      </c>
      <c r="G314" s="2">
        <f t="shared" si="56"/>
        <v>0.29551562981997159</v>
      </c>
      <c r="H314" s="2">
        <f t="shared" si="48"/>
        <v>1.3322676295501878E-15</v>
      </c>
    </row>
    <row r="315" spans="1:8" x14ac:dyDescent="0.25">
      <c r="A315" t="s">
        <v>16</v>
      </c>
      <c r="B315">
        <v>8</v>
      </c>
      <c r="C315" s="3">
        <f t="shared" si="53"/>
        <v>12.654</v>
      </c>
      <c r="D315" s="8">
        <f t="shared" si="54"/>
        <v>3.1539999999999999</v>
      </c>
      <c r="E315" s="2">
        <f t="shared" si="47"/>
        <v>1.5269999999999999</v>
      </c>
      <c r="F315" s="3">
        <f t="shared" si="55"/>
        <v>11.559937282503471</v>
      </c>
      <c r="G315" s="2">
        <f t="shared" si="56"/>
        <v>0.30167305167087172</v>
      </c>
      <c r="H315" s="2">
        <f t="shared" si="48"/>
        <v>2.2204460492503131E-16</v>
      </c>
    </row>
    <row r="316" spans="1:8" x14ac:dyDescent="0.25">
      <c r="A316" t="s">
        <v>16</v>
      </c>
      <c r="B316">
        <v>9</v>
      </c>
      <c r="C316" s="3">
        <f t="shared" si="53"/>
        <v>12.654</v>
      </c>
      <c r="D316" s="8">
        <f t="shared" si="54"/>
        <v>3.1539999999999999</v>
      </c>
      <c r="E316" s="2">
        <f t="shared" si="47"/>
        <v>1.5269999999999999</v>
      </c>
      <c r="F316" s="3">
        <f t="shared" si="55"/>
        <v>12.779137596090953</v>
      </c>
      <c r="G316" s="2">
        <f t="shared" si="56"/>
        <v>0.30779968641251737</v>
      </c>
      <c r="H316" s="2">
        <f t="shared" si="48"/>
        <v>4.4408920985006262E-16</v>
      </c>
    </row>
    <row r="317" spans="1:8" x14ac:dyDescent="0.25">
      <c r="A317" t="s">
        <v>16</v>
      </c>
      <c r="B317">
        <v>10</v>
      </c>
      <c r="C317" s="3">
        <f t="shared" si="53"/>
        <v>12.654</v>
      </c>
      <c r="D317" s="8">
        <f t="shared" si="54"/>
        <v>3.1539999999999999</v>
      </c>
      <c r="E317" s="2">
        <f t="shared" si="47"/>
        <v>1.5269999999999999</v>
      </c>
      <c r="F317" s="3">
        <f t="shared" si="55"/>
        <v>13.992241908110497</v>
      </c>
      <c r="G317" s="2">
        <f t="shared" si="56"/>
        <v>0.31389568798045475</v>
      </c>
      <c r="H317" s="2">
        <f t="shared" si="48"/>
        <v>1.3322676295501878E-15</v>
      </c>
    </row>
    <row r="318" spans="1:8" x14ac:dyDescent="0.25">
      <c r="A318" t="s">
        <v>16</v>
      </c>
      <c r="B318">
        <v>11</v>
      </c>
      <c r="C318" s="3">
        <f t="shared" si="53"/>
        <v>12.654</v>
      </c>
      <c r="D318" s="8">
        <f t="shared" si="54"/>
        <v>3.1539999999999999</v>
      </c>
      <c r="E318" s="2">
        <f t="shared" si="47"/>
        <v>1.5269999999999999</v>
      </c>
      <c r="F318" s="3">
        <f t="shared" si="55"/>
        <v>15.199280698569943</v>
      </c>
      <c r="G318" s="2">
        <f t="shared" si="56"/>
        <v>0.31996120954055252</v>
      </c>
      <c r="H318" s="2">
        <f t="shared" si="48"/>
        <v>1.3322676295501878E-15</v>
      </c>
    </row>
    <row r="319" spans="1:8" x14ac:dyDescent="0.25">
      <c r="A319" t="s">
        <v>16</v>
      </c>
      <c r="B319">
        <v>12</v>
      </c>
      <c r="C319" s="3">
        <f t="shared" si="53"/>
        <v>12.654</v>
      </c>
      <c r="D319" s="8">
        <f t="shared" si="54"/>
        <v>3.1539999999999999</v>
      </c>
      <c r="E319" s="2">
        <f t="shared" si="47"/>
        <v>1.5269999999999999</v>
      </c>
      <c r="F319" s="3">
        <f t="shared" si="55"/>
        <v>16.400284295077093</v>
      </c>
      <c r="G319" s="2">
        <f t="shared" si="56"/>
        <v>0.32599640349284975</v>
      </c>
      <c r="H319" s="2">
        <f t="shared" si="48"/>
        <v>6.6613381477509392E-16</v>
      </c>
    </row>
    <row r="320" spans="1:8" x14ac:dyDescent="0.25">
      <c r="A320" t="s">
        <v>16</v>
      </c>
      <c r="B320">
        <v>13</v>
      </c>
      <c r="C320" s="3">
        <f t="shared" si="53"/>
        <v>12.654</v>
      </c>
      <c r="D320" s="8">
        <f t="shared" si="54"/>
        <v>3.1539999999999999</v>
      </c>
      <c r="E320" s="2">
        <f t="shared" si="47"/>
        <v>1.5269999999999999</v>
      </c>
      <c r="F320" s="3">
        <f t="shared" si="55"/>
        <v>17.595282873601708</v>
      </c>
      <c r="G320" s="2">
        <f t="shared" si="56"/>
        <v>0.33200142147538547</v>
      </c>
      <c r="H320" s="2">
        <f t="shared" si="48"/>
        <v>-4.4408920985006262E-16</v>
      </c>
    </row>
    <row r="321" spans="1:8" x14ac:dyDescent="0.25">
      <c r="A321" t="s">
        <v>16</v>
      </c>
      <c r="B321">
        <v>14</v>
      </c>
      <c r="C321" s="3">
        <f t="shared" si="53"/>
        <v>12.654</v>
      </c>
      <c r="D321" s="8">
        <f t="shared" si="54"/>
        <v>3.1539999999999999</v>
      </c>
      <c r="E321" s="2">
        <f t="shared" si="47"/>
        <v>1.5269999999999999</v>
      </c>
      <c r="F321" s="3">
        <f t="shared" si="55"/>
        <v>18.784306459233701</v>
      </c>
      <c r="G321" s="2">
        <f t="shared" si="56"/>
        <v>0.33797641436800852</v>
      </c>
      <c r="H321" s="2">
        <f t="shared" si="48"/>
        <v>-1.7763568394002505E-15</v>
      </c>
    </row>
    <row r="322" spans="1:8" x14ac:dyDescent="0.25">
      <c r="A322" t="s">
        <v>16</v>
      </c>
      <c r="B322">
        <v>15</v>
      </c>
      <c r="C322" s="3">
        <f t="shared" si="53"/>
        <v>12.654</v>
      </c>
      <c r="D322" s="8">
        <f t="shared" si="54"/>
        <v>3.1539999999999999</v>
      </c>
      <c r="E322" s="2">
        <f t="shared" ref="E322:E366" si="57">IF(D322&gt;MinWastedPower,(D322-MinWastedPower)*RoundtripEfficiency,0)</f>
        <v>1.5269999999999999</v>
      </c>
      <c r="F322" s="3">
        <f t="shared" si="55"/>
        <v>19.967384926937534</v>
      </c>
      <c r="G322" s="2">
        <f t="shared" si="56"/>
        <v>0.34392153229616851</v>
      </c>
      <c r="H322" s="2">
        <f t="shared" si="48"/>
        <v>-1.7763568394002505E-15</v>
      </c>
    </row>
    <row r="323" spans="1:8" x14ac:dyDescent="0.25">
      <c r="A323" t="s">
        <v>16</v>
      </c>
      <c r="B323">
        <v>16</v>
      </c>
      <c r="C323" s="3">
        <f t="shared" si="53"/>
        <v>12.654</v>
      </c>
      <c r="D323" s="8">
        <f t="shared" si="54"/>
        <v>3.1539999999999999</v>
      </c>
      <c r="E323" s="2">
        <f t="shared" si="57"/>
        <v>1.5269999999999999</v>
      </c>
      <c r="F323" s="3">
        <f t="shared" si="55"/>
        <v>21.144548002302848</v>
      </c>
      <c r="G323" s="2">
        <f t="shared" si="56"/>
        <v>0.34983692463468768</v>
      </c>
      <c r="H323" s="2">
        <f t="shared" si="48"/>
        <v>-1.9984014443252818E-15</v>
      </c>
    </row>
    <row r="324" spans="1:8" x14ac:dyDescent="0.25">
      <c r="A324" t="s">
        <v>16</v>
      </c>
      <c r="B324">
        <v>17</v>
      </c>
      <c r="C324" s="3">
        <f t="shared" si="53"/>
        <v>12.654</v>
      </c>
      <c r="D324" s="8">
        <f t="shared" si="54"/>
        <v>3.1539999999999999</v>
      </c>
      <c r="E324" s="2">
        <f t="shared" si="57"/>
        <v>1.5269999999999999</v>
      </c>
      <c r="F324" s="3">
        <f t="shared" si="55"/>
        <v>22.315825262291334</v>
      </c>
      <c r="G324" s="2">
        <f t="shared" si="56"/>
        <v>0.35572274001151427</v>
      </c>
      <c r="H324" s="2">
        <f t="shared" si="48"/>
        <v>0</v>
      </c>
    </row>
    <row r="325" spans="1:8" x14ac:dyDescent="0.25">
      <c r="A325" t="s">
        <v>16</v>
      </c>
      <c r="B325">
        <v>18</v>
      </c>
      <c r="C325" s="3">
        <f t="shared" si="53"/>
        <v>12.654</v>
      </c>
      <c r="D325" s="8">
        <f t="shared" si="54"/>
        <v>3.1539999999999999</v>
      </c>
      <c r="E325" s="2">
        <f t="shared" si="57"/>
        <v>1.5269999999999999</v>
      </c>
      <c r="F325" s="3">
        <f t="shared" si="55"/>
        <v>23.481246135979877</v>
      </c>
      <c r="G325" s="2">
        <f t="shared" si="56"/>
        <v>0.36157912631145667</v>
      </c>
      <c r="H325" s="2">
        <f t="shared" si="48"/>
        <v>2.2204460492503131E-16</v>
      </c>
    </row>
    <row r="326" spans="1:8" x14ac:dyDescent="0.25">
      <c r="A326" t="s">
        <v>16</v>
      </c>
      <c r="B326">
        <v>19</v>
      </c>
      <c r="C326" s="3">
        <f t="shared" si="53"/>
        <v>12.654</v>
      </c>
      <c r="D326" s="8">
        <f t="shared" si="54"/>
        <v>3.1539999999999999</v>
      </c>
      <c r="E326" s="2">
        <f t="shared" si="57"/>
        <v>1.5269999999999999</v>
      </c>
      <c r="F326" s="3">
        <f t="shared" si="55"/>
        <v>24.640839905299977</v>
      </c>
      <c r="G326" s="2">
        <f t="shared" si="56"/>
        <v>0.36740623067989941</v>
      </c>
      <c r="H326" s="2">
        <f t="shared" si="48"/>
        <v>4.4408920985006262E-16</v>
      </c>
    </row>
    <row r="327" spans="1:8" x14ac:dyDescent="0.25">
      <c r="A327" t="s">
        <v>16</v>
      </c>
      <c r="B327">
        <v>20</v>
      </c>
      <c r="C327" s="3">
        <f t="shared" si="53"/>
        <v>12.654</v>
      </c>
      <c r="D327" s="8">
        <f t="shared" si="54"/>
        <v>3.1539999999999999</v>
      </c>
      <c r="E327" s="2">
        <f t="shared" si="57"/>
        <v>1.5269999999999999</v>
      </c>
      <c r="F327" s="3">
        <f t="shared" si="55"/>
        <v>25.794635705773477</v>
      </c>
      <c r="G327" s="2">
        <f t="shared" si="56"/>
        <v>0.37320419952649986</v>
      </c>
      <c r="H327" s="2">
        <f t="shared" si="48"/>
        <v>4.4408920985006262E-16</v>
      </c>
    </row>
    <row r="328" spans="1:8" x14ac:dyDescent="0.25">
      <c r="A328" t="s">
        <v>16</v>
      </c>
      <c r="B328">
        <v>21</v>
      </c>
      <c r="C328" s="3">
        <f t="shared" si="53"/>
        <v>12.654</v>
      </c>
      <c r="D328" s="8">
        <f t="shared" si="54"/>
        <v>3.1539999999999999</v>
      </c>
      <c r="E328" s="2">
        <f t="shared" si="57"/>
        <v>1.5269999999999999</v>
      </c>
      <c r="F328" s="3">
        <f t="shared" si="55"/>
        <v>26.942662527244611</v>
      </c>
      <c r="G328" s="2">
        <f t="shared" si="56"/>
        <v>0.37897317852886736</v>
      </c>
      <c r="H328" s="2">
        <f t="shared" si="48"/>
        <v>-1.7763568394002505E-15</v>
      </c>
    </row>
    <row r="329" spans="1:8" x14ac:dyDescent="0.25">
      <c r="A329" t="s">
        <v>16</v>
      </c>
      <c r="B329">
        <v>22</v>
      </c>
      <c r="C329" s="3">
        <f t="shared" si="53"/>
        <v>12.654</v>
      </c>
      <c r="D329" s="8">
        <f t="shared" si="54"/>
        <v>3.1539999999999999</v>
      </c>
      <c r="E329" s="2">
        <f t="shared" si="57"/>
        <v>1.5269999999999999</v>
      </c>
      <c r="F329" s="3">
        <f t="shared" si="55"/>
        <v>28.08494921460839</v>
      </c>
      <c r="G329" s="2">
        <f t="shared" si="56"/>
        <v>0.38471331263622305</v>
      </c>
      <c r="H329" s="2">
        <f t="shared" si="48"/>
        <v>-1.7763568394002505E-15</v>
      </c>
    </row>
    <row r="330" spans="1:8" x14ac:dyDescent="0.25">
      <c r="A330" t="s">
        <v>16</v>
      </c>
      <c r="B330">
        <v>23</v>
      </c>
      <c r="C330" s="3">
        <f t="shared" si="53"/>
        <v>12.654</v>
      </c>
      <c r="D330" s="8">
        <f t="shared" si="54"/>
        <v>3.1539999999999999</v>
      </c>
      <c r="E330" s="2">
        <f t="shared" si="57"/>
        <v>1.5269999999999999</v>
      </c>
      <c r="F330" s="3">
        <f t="shared" si="55"/>
        <v>29.22152446853535</v>
      </c>
      <c r="G330" s="2">
        <f t="shared" si="56"/>
        <v>0.39042474607304195</v>
      </c>
      <c r="H330" s="2">
        <f t="shared" si="48"/>
        <v>-1.9984014443252818E-15</v>
      </c>
    </row>
    <row r="331" spans="1:8" x14ac:dyDescent="0.25">
      <c r="A331" t="s">
        <v>16</v>
      </c>
      <c r="B331">
        <v>24</v>
      </c>
      <c r="C331" s="3">
        <f t="shared" si="53"/>
        <v>12.654</v>
      </c>
      <c r="D331" s="8">
        <f t="shared" si="54"/>
        <v>3.1539999999999999</v>
      </c>
      <c r="E331" s="2">
        <f t="shared" si="57"/>
        <v>1.5269999999999999</v>
      </c>
      <c r="F331" s="3">
        <f t="shared" si="55"/>
        <v>30.352416846192675</v>
      </c>
      <c r="G331" s="2">
        <f t="shared" si="56"/>
        <v>0.39610762234267671</v>
      </c>
      <c r="H331" s="2">
        <f t="shared" si="48"/>
        <v>-1.9984014443252818E-15</v>
      </c>
    </row>
    <row r="332" spans="1:8" x14ac:dyDescent="0.25">
      <c r="A332" t="s">
        <v>16</v>
      </c>
      <c r="B332">
        <v>25</v>
      </c>
      <c r="C332" s="3">
        <f t="shared" si="53"/>
        <v>12.654</v>
      </c>
      <c r="D332" s="8">
        <f t="shared" si="54"/>
        <v>3.1539999999999999</v>
      </c>
      <c r="E332" s="2">
        <f t="shared" si="57"/>
        <v>1.5269999999999999</v>
      </c>
      <c r="F332" s="3">
        <f t="shared" si="55"/>
        <v>31.477654761961713</v>
      </c>
      <c r="G332" s="2">
        <f t="shared" si="56"/>
        <v>0.40176208423096338</v>
      </c>
      <c r="H332" s="2">
        <f t="shared" si="48"/>
        <v>-1.3322676295501878E-15</v>
      </c>
    </row>
    <row r="333" spans="1:8" x14ac:dyDescent="0.25">
      <c r="A333" t="s">
        <v>16</v>
      </c>
      <c r="B333">
        <v>26</v>
      </c>
      <c r="C333" s="3">
        <f t="shared" si="53"/>
        <v>12.654</v>
      </c>
      <c r="D333" s="8">
        <f t="shared" si="54"/>
        <v>3.1539999999999999</v>
      </c>
      <c r="E333" s="2">
        <f t="shared" si="57"/>
        <v>1.5269999999999999</v>
      </c>
      <c r="F333" s="3">
        <f t="shared" si="55"/>
        <v>32.597266488151902</v>
      </c>
      <c r="G333" s="2">
        <f t="shared" si="56"/>
        <v>0.40738827380980858</v>
      </c>
      <c r="H333" s="2">
        <f t="shared" si="48"/>
        <v>1.7763568394002505E-15</v>
      </c>
    </row>
    <row r="334" spans="1:8" x14ac:dyDescent="0.25">
      <c r="A334" t="s">
        <v>16</v>
      </c>
      <c r="B334">
        <v>27</v>
      </c>
      <c r="C334" s="3">
        <f t="shared" si="53"/>
        <v>12.654</v>
      </c>
      <c r="D334" s="8">
        <f t="shared" si="54"/>
        <v>3.1539999999999999</v>
      </c>
      <c r="E334" s="2">
        <f t="shared" si="57"/>
        <v>1.5269999999999999</v>
      </c>
      <c r="F334" s="3">
        <f t="shared" si="55"/>
        <v>33.711280155711144</v>
      </c>
      <c r="G334" s="2">
        <f t="shared" si="56"/>
        <v>0.41298633244075955</v>
      </c>
      <c r="H334" s="2">
        <f t="shared" si="48"/>
        <v>-1.3322676295501878E-15</v>
      </c>
    </row>
    <row r="335" spans="1:8" x14ac:dyDescent="0.25">
      <c r="A335" t="s">
        <v>16</v>
      </c>
      <c r="B335">
        <v>28</v>
      </c>
      <c r="C335" s="3">
        <f t="shared" si="53"/>
        <v>12.654</v>
      </c>
      <c r="D335" s="8">
        <f t="shared" si="54"/>
        <v>3.1539999999999999</v>
      </c>
      <c r="E335" s="2">
        <f t="shared" si="57"/>
        <v>1.5269999999999999</v>
      </c>
      <c r="F335" s="3">
        <f t="shared" si="55"/>
        <v>34.819723754932589</v>
      </c>
      <c r="G335" s="2">
        <f t="shared" si="56"/>
        <v>0.41855640077855572</v>
      </c>
      <c r="H335" s="2">
        <f t="shared" si="48"/>
        <v>-8.8817841970012523E-16</v>
      </c>
    </row>
    <row r="336" spans="1:8" x14ac:dyDescent="0.25">
      <c r="A336" t="s">
        <v>33</v>
      </c>
      <c r="B336">
        <v>1</v>
      </c>
      <c r="C336" s="3">
        <f t="shared" ref="C336:C366" si="58">MarSunHours*SolarMaxGenCap*SolarEfficiency</f>
        <v>13.337999999999999</v>
      </c>
      <c r="D336" s="8">
        <f t="shared" ref="D336:D366" si="59">(MarSunHours*(SolarMaxGenCap*SolarEfficiency))-MarPowerUse</f>
        <v>3.3379999999999974</v>
      </c>
      <c r="E336" s="2">
        <f t="shared" si="57"/>
        <v>1.6189999999999987</v>
      </c>
      <c r="F336" s="3">
        <f t="shared" ref="F336:F366" si="60">IF((F335*(1-MarDailyLossPct)-MarDailyLossAbs)+E336&gt;MaxPowerStore,MaxPowerStore,(IF(F335+E336&gt;0.1,(F335*(1-MarDailyLossPct)-MarDailyLossAbs)+ (IF(D336&lt;0,D336,E336)),0)))</f>
        <v>36.014625136157925</v>
      </c>
      <c r="G336" s="2">
        <f t="shared" ref="G336:G366" si="61">IF(F336&gt;0,MarDailyLossAbs+(F335*MarDailyLossPct),0)</f>
        <v>0.42409861877466293</v>
      </c>
      <c r="H336" s="2">
        <f t="shared" si="48"/>
        <v>2.2204460492503131E-16</v>
      </c>
    </row>
    <row r="337" spans="1:8" x14ac:dyDescent="0.25">
      <c r="A337" t="s">
        <v>33</v>
      </c>
      <c r="B337">
        <v>2</v>
      </c>
      <c r="C337" s="3">
        <f t="shared" si="58"/>
        <v>13.337999999999999</v>
      </c>
      <c r="D337" s="8">
        <f t="shared" si="59"/>
        <v>3.3379999999999974</v>
      </c>
      <c r="E337" s="2">
        <f t="shared" si="57"/>
        <v>1.6189999999999987</v>
      </c>
      <c r="F337" s="3">
        <f t="shared" si="60"/>
        <v>37.203552010477132</v>
      </c>
      <c r="G337" s="2">
        <f t="shared" si="61"/>
        <v>0.43007312568078959</v>
      </c>
      <c r="H337" s="2">
        <f t="shared" si="48"/>
        <v>1.3322676295501878E-15</v>
      </c>
    </row>
    <row r="338" spans="1:8" x14ac:dyDescent="0.25">
      <c r="A338" t="s">
        <v>33</v>
      </c>
      <c r="B338">
        <v>3</v>
      </c>
      <c r="C338" s="3">
        <f t="shared" si="58"/>
        <v>13.337999999999999</v>
      </c>
      <c r="D338" s="8">
        <f t="shared" si="59"/>
        <v>3.3379999999999974</v>
      </c>
      <c r="E338" s="2">
        <f t="shared" si="57"/>
        <v>1.6189999999999987</v>
      </c>
      <c r="F338" s="3">
        <f t="shared" si="60"/>
        <v>38.386534250424745</v>
      </c>
      <c r="G338" s="2">
        <f t="shared" si="61"/>
        <v>0.43601776005238568</v>
      </c>
      <c r="H338" s="2">
        <f t="shared" ref="H338:H366" si="62">IF(E338&gt;0,E338-G338-(F338-F337),0)</f>
        <v>0</v>
      </c>
    </row>
    <row r="339" spans="1:8" x14ac:dyDescent="0.25">
      <c r="A339" t="s">
        <v>33</v>
      </c>
      <c r="B339">
        <v>4</v>
      </c>
      <c r="C339" s="3">
        <f t="shared" si="58"/>
        <v>13.337999999999999</v>
      </c>
      <c r="D339" s="8">
        <f t="shared" si="59"/>
        <v>3.3379999999999974</v>
      </c>
      <c r="E339" s="2">
        <f t="shared" si="57"/>
        <v>1.6189999999999987</v>
      </c>
      <c r="F339" s="3">
        <f t="shared" si="60"/>
        <v>39.563601579172619</v>
      </c>
      <c r="G339" s="2">
        <f t="shared" si="61"/>
        <v>0.44193267125212377</v>
      </c>
      <c r="H339" s="2">
        <f t="shared" si="62"/>
        <v>4.4408920985006262E-16</v>
      </c>
    </row>
    <row r="340" spans="1:8" x14ac:dyDescent="0.25">
      <c r="A340" t="s">
        <v>33</v>
      </c>
      <c r="B340">
        <v>5</v>
      </c>
      <c r="C340" s="3">
        <f t="shared" si="58"/>
        <v>13.337999999999999</v>
      </c>
      <c r="D340" s="8">
        <f t="shared" si="59"/>
        <v>3.3379999999999974</v>
      </c>
      <c r="E340" s="2">
        <f t="shared" si="57"/>
        <v>1.6189999999999987</v>
      </c>
      <c r="F340" s="3">
        <f t="shared" si="60"/>
        <v>40.734783571276758</v>
      </c>
      <c r="G340" s="2">
        <f t="shared" si="61"/>
        <v>0.44781800789586312</v>
      </c>
      <c r="H340" s="2">
        <f t="shared" si="62"/>
        <v>-2.6645352591003757E-15</v>
      </c>
    </row>
    <row r="341" spans="1:8" x14ac:dyDescent="0.25">
      <c r="A341" t="s">
        <v>33</v>
      </c>
      <c r="B341">
        <v>6</v>
      </c>
      <c r="C341" s="3">
        <f t="shared" si="58"/>
        <v>13.337999999999999</v>
      </c>
      <c r="D341" s="8">
        <f t="shared" si="59"/>
        <v>3.3379999999999974</v>
      </c>
      <c r="E341" s="2">
        <f t="shared" si="57"/>
        <v>1.6189999999999987</v>
      </c>
      <c r="F341" s="3">
        <f t="shared" si="60"/>
        <v>41.900109653420373</v>
      </c>
      <c r="G341" s="2">
        <f t="shared" si="61"/>
        <v>0.45367391785638378</v>
      </c>
      <c r="H341" s="2">
        <f t="shared" si="62"/>
        <v>0</v>
      </c>
    </row>
    <row r="342" spans="1:8" x14ac:dyDescent="0.25">
      <c r="A342" t="s">
        <v>33</v>
      </c>
      <c r="B342">
        <v>7</v>
      </c>
      <c r="C342" s="3">
        <f t="shared" si="58"/>
        <v>13.337999999999999</v>
      </c>
      <c r="D342" s="8">
        <f t="shared" si="59"/>
        <v>3.3379999999999974</v>
      </c>
      <c r="E342" s="2">
        <f t="shared" si="57"/>
        <v>1.6189999999999987</v>
      </c>
      <c r="F342" s="3">
        <f t="shared" si="60"/>
        <v>43.059609105153271</v>
      </c>
      <c r="G342" s="2">
        <f t="shared" si="61"/>
        <v>0.45950054826710185</v>
      </c>
      <c r="H342" s="2">
        <f t="shared" si="62"/>
        <v>-1.7763568394002505E-15</v>
      </c>
    </row>
    <row r="343" spans="1:8" x14ac:dyDescent="0.25">
      <c r="A343" t="s">
        <v>33</v>
      </c>
      <c r="B343">
        <v>8</v>
      </c>
      <c r="C343" s="3">
        <f t="shared" si="58"/>
        <v>13.337999999999999</v>
      </c>
      <c r="D343" s="8">
        <f t="shared" si="59"/>
        <v>3.3379999999999974</v>
      </c>
      <c r="E343" s="2">
        <f t="shared" si="57"/>
        <v>1.6189999999999987</v>
      </c>
      <c r="F343" s="3">
        <f t="shared" si="60"/>
        <v>44.213311059627507</v>
      </c>
      <c r="G343" s="2">
        <f t="shared" si="61"/>
        <v>0.46529804552576637</v>
      </c>
      <c r="H343" s="2">
        <f t="shared" si="62"/>
        <v>-3.9968028886505635E-15</v>
      </c>
    </row>
    <row r="344" spans="1:8" x14ac:dyDescent="0.25">
      <c r="A344" t="s">
        <v>33</v>
      </c>
      <c r="B344">
        <v>9</v>
      </c>
      <c r="C344" s="3">
        <f t="shared" si="58"/>
        <v>13.337999999999999</v>
      </c>
      <c r="D344" s="8">
        <f t="shared" si="59"/>
        <v>3.3379999999999974</v>
      </c>
      <c r="E344" s="2">
        <f t="shared" si="57"/>
        <v>1.6189999999999987</v>
      </c>
      <c r="F344" s="3">
        <f t="shared" si="60"/>
        <v>45.36124450432937</v>
      </c>
      <c r="G344" s="2">
        <f t="shared" si="61"/>
        <v>0.47106655529813757</v>
      </c>
      <c r="H344" s="2">
        <f t="shared" si="62"/>
        <v>-1.7763568394002505E-15</v>
      </c>
    </row>
    <row r="345" spans="1:8" x14ac:dyDescent="0.25">
      <c r="A345" t="s">
        <v>33</v>
      </c>
      <c r="B345">
        <v>10</v>
      </c>
      <c r="C345" s="3">
        <f t="shared" si="58"/>
        <v>13.337999999999999</v>
      </c>
      <c r="D345" s="8">
        <f t="shared" si="59"/>
        <v>3.3379999999999974</v>
      </c>
      <c r="E345" s="2">
        <f t="shared" si="57"/>
        <v>1.6189999999999987</v>
      </c>
      <c r="F345" s="3">
        <f t="shared" si="60"/>
        <v>46.503438281807725</v>
      </c>
      <c r="G345" s="2">
        <f t="shared" si="61"/>
        <v>0.47680622252164684</v>
      </c>
      <c r="H345" s="2">
        <f t="shared" si="62"/>
        <v>-2.6645352591003757E-15</v>
      </c>
    </row>
    <row r="346" spans="1:8" x14ac:dyDescent="0.25">
      <c r="A346" t="s">
        <v>33</v>
      </c>
      <c r="B346">
        <v>11</v>
      </c>
      <c r="C346" s="3">
        <f t="shared" si="58"/>
        <v>13.337999999999999</v>
      </c>
      <c r="D346" s="8">
        <f t="shared" si="59"/>
        <v>3.3379999999999974</v>
      </c>
      <c r="E346" s="2">
        <f t="shared" si="57"/>
        <v>1.6189999999999987</v>
      </c>
      <c r="F346" s="3">
        <f t="shared" si="60"/>
        <v>47.639921090398687</v>
      </c>
      <c r="G346" s="2">
        <f t="shared" si="61"/>
        <v>0.48251719140903859</v>
      </c>
      <c r="H346" s="2">
        <f t="shared" si="62"/>
        <v>-2.2204460492503131E-15</v>
      </c>
    </row>
    <row r="347" spans="1:8" x14ac:dyDescent="0.25">
      <c r="A347" t="s">
        <v>33</v>
      </c>
      <c r="B347">
        <v>12</v>
      </c>
      <c r="C347" s="3">
        <f t="shared" si="58"/>
        <v>13.337999999999999</v>
      </c>
      <c r="D347" s="8">
        <f t="shared" si="59"/>
        <v>3.3379999999999974</v>
      </c>
      <c r="E347" s="2">
        <f t="shared" si="57"/>
        <v>1.6189999999999987</v>
      </c>
      <c r="F347" s="3">
        <f t="shared" si="60"/>
        <v>48.770721484946691</v>
      </c>
      <c r="G347" s="2">
        <f t="shared" si="61"/>
        <v>0.48819960545199348</v>
      </c>
      <c r="H347" s="2">
        <f t="shared" si="62"/>
        <v>1.3322676295501878E-15</v>
      </c>
    </row>
    <row r="348" spans="1:8" x14ac:dyDescent="0.25">
      <c r="A348" t="s">
        <v>33</v>
      </c>
      <c r="B348">
        <v>13</v>
      </c>
      <c r="C348" s="3">
        <f t="shared" si="58"/>
        <v>13.337999999999999</v>
      </c>
      <c r="D348" s="8">
        <f t="shared" si="59"/>
        <v>3.3379999999999974</v>
      </c>
      <c r="E348" s="2">
        <f t="shared" si="57"/>
        <v>1.6189999999999987</v>
      </c>
      <c r="F348" s="3">
        <f t="shared" si="60"/>
        <v>49.895867877521958</v>
      </c>
      <c r="G348" s="2">
        <f t="shared" si="61"/>
        <v>0.4938536074247335</v>
      </c>
      <c r="H348" s="2">
        <f t="shared" si="62"/>
        <v>-2.2204460492503131E-15</v>
      </c>
    </row>
    <row r="349" spans="1:8" x14ac:dyDescent="0.25">
      <c r="A349" t="s">
        <v>33</v>
      </c>
      <c r="B349">
        <v>14</v>
      </c>
      <c r="C349" s="3">
        <f t="shared" si="58"/>
        <v>13.337999999999999</v>
      </c>
      <c r="D349" s="8">
        <f t="shared" si="59"/>
        <v>3.3379999999999974</v>
      </c>
      <c r="E349" s="2">
        <f t="shared" si="57"/>
        <v>1.6189999999999987</v>
      </c>
      <c r="F349" s="3">
        <f t="shared" si="60"/>
        <v>51.015388538134346</v>
      </c>
      <c r="G349" s="2">
        <f t="shared" si="61"/>
        <v>0.4994793393876098</v>
      </c>
      <c r="H349" s="2">
        <f t="shared" si="62"/>
        <v>1.3322676295501878E-15</v>
      </c>
    </row>
    <row r="350" spans="1:8" x14ac:dyDescent="0.25">
      <c r="A350" t="s">
        <v>33</v>
      </c>
      <c r="B350">
        <v>15</v>
      </c>
      <c r="C350" s="3">
        <f t="shared" si="58"/>
        <v>13.337999999999999</v>
      </c>
      <c r="D350" s="8">
        <f t="shared" si="59"/>
        <v>3.3379999999999974</v>
      </c>
      <c r="E350" s="2">
        <f t="shared" si="57"/>
        <v>1.6189999999999987</v>
      </c>
      <c r="F350" s="3">
        <f t="shared" si="60"/>
        <v>52.129311595443674</v>
      </c>
      <c r="G350" s="2">
        <f t="shared" si="61"/>
        <v>0.50507694269067172</v>
      </c>
      <c r="H350" s="2">
        <f t="shared" si="62"/>
        <v>-1.7763568394002505E-15</v>
      </c>
    </row>
    <row r="351" spans="1:8" x14ac:dyDescent="0.25">
      <c r="A351" t="s">
        <v>33</v>
      </c>
      <c r="B351">
        <v>16</v>
      </c>
      <c r="C351" s="3">
        <f t="shared" si="58"/>
        <v>13.337999999999999</v>
      </c>
      <c r="D351" s="8">
        <f t="shared" si="59"/>
        <v>3.3379999999999974</v>
      </c>
      <c r="E351" s="2">
        <f t="shared" si="57"/>
        <v>1.6189999999999987</v>
      </c>
      <c r="F351" s="3">
        <f t="shared" si="60"/>
        <v>53.237665037466456</v>
      </c>
      <c r="G351" s="2">
        <f t="shared" si="61"/>
        <v>0.51064655797721836</v>
      </c>
      <c r="H351" s="2">
        <f t="shared" si="62"/>
        <v>-1.7763568394002505E-15</v>
      </c>
    </row>
    <row r="352" spans="1:8" x14ac:dyDescent="0.25">
      <c r="A352" t="s">
        <v>33</v>
      </c>
      <c r="B352">
        <v>17</v>
      </c>
      <c r="C352" s="3">
        <f t="shared" si="58"/>
        <v>13.337999999999999</v>
      </c>
      <c r="D352" s="8">
        <f t="shared" si="59"/>
        <v>3.3379999999999974</v>
      </c>
      <c r="E352" s="2">
        <f t="shared" si="57"/>
        <v>1.6189999999999987</v>
      </c>
      <c r="F352" s="3">
        <f t="shared" si="60"/>
        <v>54.340476712279127</v>
      </c>
      <c r="G352" s="2">
        <f t="shared" si="61"/>
        <v>0.51618832518733226</v>
      </c>
      <c r="H352" s="2">
        <f t="shared" si="62"/>
        <v>-4.2188474935755949E-15</v>
      </c>
    </row>
    <row r="353" spans="1:8" x14ac:dyDescent="0.25">
      <c r="A353" t="s">
        <v>33</v>
      </c>
      <c r="B353">
        <v>18</v>
      </c>
      <c r="C353" s="3">
        <f t="shared" si="58"/>
        <v>13.337999999999999</v>
      </c>
      <c r="D353" s="8">
        <f t="shared" si="59"/>
        <v>3.3379999999999974</v>
      </c>
      <c r="E353" s="2">
        <f t="shared" si="57"/>
        <v>1.6189999999999987</v>
      </c>
      <c r="F353" s="3">
        <f t="shared" si="60"/>
        <v>55.43777432871773</v>
      </c>
      <c r="G353" s="2">
        <f t="shared" si="61"/>
        <v>0.52170238356139564</v>
      </c>
      <c r="H353" s="2">
        <f t="shared" si="62"/>
        <v>4.4408920985006262E-16</v>
      </c>
    </row>
    <row r="354" spans="1:8" x14ac:dyDescent="0.25">
      <c r="A354" t="s">
        <v>33</v>
      </c>
      <c r="B354">
        <v>19</v>
      </c>
      <c r="C354" s="3">
        <f t="shared" si="58"/>
        <v>13.337999999999999</v>
      </c>
      <c r="D354" s="8">
        <f t="shared" si="59"/>
        <v>3.3379999999999974</v>
      </c>
      <c r="E354" s="2">
        <f t="shared" si="57"/>
        <v>1.6189999999999987</v>
      </c>
      <c r="F354" s="3">
        <f t="shared" si="60"/>
        <v>56.529585457074141</v>
      </c>
      <c r="G354" s="2">
        <f t="shared" si="61"/>
        <v>0.52718887164358863</v>
      </c>
      <c r="H354" s="2">
        <f t="shared" si="62"/>
        <v>-1.5543122344752192E-15</v>
      </c>
    </row>
    <row r="355" spans="1:8" x14ac:dyDescent="0.25">
      <c r="A355" t="s">
        <v>33</v>
      </c>
      <c r="B355">
        <v>20</v>
      </c>
      <c r="C355" s="3">
        <f t="shared" si="58"/>
        <v>13.337999999999999</v>
      </c>
      <c r="D355" s="8">
        <f t="shared" si="59"/>
        <v>3.3379999999999974</v>
      </c>
      <c r="E355" s="2">
        <f t="shared" si="57"/>
        <v>1.6189999999999987</v>
      </c>
      <c r="F355" s="3">
        <f t="shared" si="60"/>
        <v>57.615937529788773</v>
      </c>
      <c r="G355" s="2">
        <f t="shared" si="61"/>
        <v>0.53264792728537069</v>
      </c>
      <c r="H355" s="2">
        <f t="shared" si="62"/>
        <v>-4.4408920985006262E-15</v>
      </c>
    </row>
    <row r="356" spans="1:8" x14ac:dyDescent="0.25">
      <c r="A356" t="s">
        <v>33</v>
      </c>
      <c r="B356">
        <v>21</v>
      </c>
      <c r="C356" s="3">
        <f t="shared" si="58"/>
        <v>13.337999999999999</v>
      </c>
      <c r="D356" s="8">
        <f t="shared" si="59"/>
        <v>3.3379999999999974</v>
      </c>
      <c r="E356" s="2">
        <f t="shared" si="57"/>
        <v>1.6189999999999987</v>
      </c>
      <c r="F356" s="3">
        <f t="shared" si="60"/>
        <v>58.696857842139828</v>
      </c>
      <c r="G356" s="2">
        <f t="shared" si="61"/>
        <v>0.53807968764894387</v>
      </c>
      <c r="H356" s="2">
        <f t="shared" si="62"/>
        <v>4.4408920985006262E-16</v>
      </c>
    </row>
    <row r="357" spans="1:8" x14ac:dyDescent="0.25">
      <c r="A357" t="s">
        <v>33</v>
      </c>
      <c r="B357">
        <v>22</v>
      </c>
      <c r="C357" s="3">
        <f t="shared" si="58"/>
        <v>13.337999999999999</v>
      </c>
      <c r="D357" s="8">
        <f t="shared" si="59"/>
        <v>3.3379999999999974</v>
      </c>
      <c r="E357" s="2">
        <f t="shared" si="57"/>
        <v>1.6189999999999987</v>
      </c>
      <c r="F357" s="3">
        <f t="shared" si="60"/>
        <v>59.772373552929125</v>
      </c>
      <c r="G357" s="2">
        <f t="shared" si="61"/>
        <v>0.54348428921069913</v>
      </c>
      <c r="H357" s="2">
        <f t="shared" si="62"/>
        <v>2.6645352591003757E-15</v>
      </c>
    </row>
    <row r="358" spans="1:8" x14ac:dyDescent="0.25">
      <c r="A358" t="s">
        <v>33</v>
      </c>
      <c r="B358">
        <v>23</v>
      </c>
      <c r="C358" s="3">
        <f t="shared" si="58"/>
        <v>13.337999999999999</v>
      </c>
      <c r="D358" s="8">
        <f t="shared" si="59"/>
        <v>3.3379999999999974</v>
      </c>
      <c r="E358" s="2">
        <f t="shared" si="57"/>
        <v>1.6189999999999987</v>
      </c>
      <c r="F358" s="3">
        <f t="shared" si="60"/>
        <v>60.842511685164482</v>
      </c>
      <c r="G358" s="2">
        <f t="shared" si="61"/>
        <v>0.54886186776464563</v>
      </c>
      <c r="H358" s="2">
        <f t="shared" si="62"/>
        <v>-3.9968028886505635E-15</v>
      </c>
    </row>
    <row r="359" spans="1:8" x14ac:dyDescent="0.25">
      <c r="A359" t="s">
        <v>33</v>
      </c>
      <c r="B359">
        <v>24</v>
      </c>
      <c r="C359" s="3">
        <f t="shared" si="58"/>
        <v>13.337999999999999</v>
      </c>
      <c r="D359" s="8">
        <f t="shared" si="59"/>
        <v>3.3379999999999974</v>
      </c>
      <c r="E359" s="2">
        <f t="shared" si="57"/>
        <v>1.6189999999999987</v>
      </c>
      <c r="F359" s="3">
        <f t="shared" si="60"/>
        <v>61.907299126738657</v>
      </c>
      <c r="G359" s="2">
        <f t="shared" si="61"/>
        <v>0.5542125584258224</v>
      </c>
      <c r="H359" s="2">
        <f t="shared" si="62"/>
        <v>8.8817841970012523E-16</v>
      </c>
    </row>
    <row r="360" spans="1:8" x14ac:dyDescent="0.25">
      <c r="A360" t="s">
        <v>33</v>
      </c>
      <c r="B360">
        <v>25</v>
      </c>
      <c r="C360" s="3">
        <f t="shared" si="58"/>
        <v>13.337999999999999</v>
      </c>
      <c r="D360" s="8">
        <f t="shared" si="59"/>
        <v>3.3379999999999974</v>
      </c>
      <c r="E360" s="2">
        <f t="shared" si="57"/>
        <v>1.6189999999999987</v>
      </c>
      <c r="F360" s="3">
        <f t="shared" si="60"/>
        <v>62.966762631104963</v>
      </c>
      <c r="G360" s="2">
        <f t="shared" si="61"/>
        <v>0.55953649563369323</v>
      </c>
      <c r="H360" s="2">
        <f t="shared" si="62"/>
        <v>-6.6613381477509392E-16</v>
      </c>
    </row>
    <row r="361" spans="1:8" x14ac:dyDescent="0.25">
      <c r="A361" t="s">
        <v>33</v>
      </c>
      <c r="B361">
        <v>26</v>
      </c>
      <c r="C361" s="3">
        <f t="shared" si="58"/>
        <v>13.337999999999999</v>
      </c>
      <c r="D361" s="8">
        <f t="shared" si="59"/>
        <v>3.3379999999999974</v>
      </c>
      <c r="E361" s="2">
        <f t="shared" si="57"/>
        <v>1.6189999999999987</v>
      </c>
      <c r="F361" s="3">
        <f t="shared" si="60"/>
        <v>64.020928817949439</v>
      </c>
      <c r="G361" s="2">
        <f t="shared" si="61"/>
        <v>0.56483381315552483</v>
      </c>
      <c r="H361" s="2">
        <f t="shared" si="62"/>
        <v>-2.4424906541753444E-15</v>
      </c>
    </row>
    <row r="362" spans="1:8" x14ac:dyDescent="0.25">
      <c r="A362" t="s">
        <v>33</v>
      </c>
      <c r="B362">
        <v>27</v>
      </c>
      <c r="C362" s="3">
        <f t="shared" si="58"/>
        <v>13.337999999999999</v>
      </c>
      <c r="D362" s="8">
        <f t="shared" si="59"/>
        <v>3.3379999999999974</v>
      </c>
      <c r="E362" s="2">
        <f t="shared" si="57"/>
        <v>1.6189999999999987</v>
      </c>
      <c r="F362" s="3">
        <f t="shared" si="60"/>
        <v>65.069824173859686</v>
      </c>
      <c r="G362" s="2">
        <f t="shared" si="61"/>
        <v>0.57010464408974726</v>
      </c>
      <c r="H362" s="2">
        <f t="shared" si="62"/>
        <v>4.4408920985006262E-15</v>
      </c>
    </row>
    <row r="363" spans="1:8" x14ac:dyDescent="0.25">
      <c r="A363" t="s">
        <v>33</v>
      </c>
      <c r="B363">
        <v>28</v>
      </c>
      <c r="C363" s="3">
        <f t="shared" si="58"/>
        <v>13.337999999999999</v>
      </c>
      <c r="D363" s="8">
        <f t="shared" si="59"/>
        <v>3.3379999999999974</v>
      </c>
      <c r="E363" s="2">
        <f t="shared" si="57"/>
        <v>1.6189999999999987</v>
      </c>
      <c r="F363" s="3">
        <f t="shared" si="60"/>
        <v>66.113475052990381</v>
      </c>
      <c r="G363" s="2">
        <f t="shared" si="61"/>
        <v>0.57534912086929846</v>
      </c>
      <c r="H363" s="2">
        <f t="shared" si="62"/>
        <v>5.3290705182007514E-15</v>
      </c>
    </row>
    <row r="364" spans="1:8" x14ac:dyDescent="0.25">
      <c r="A364" t="s">
        <v>33</v>
      </c>
      <c r="B364">
        <v>29</v>
      </c>
      <c r="C364" s="3">
        <f t="shared" si="58"/>
        <v>13.337999999999999</v>
      </c>
      <c r="D364" s="8">
        <f t="shared" si="59"/>
        <v>3.3379999999999974</v>
      </c>
      <c r="E364" s="2">
        <f t="shared" si="57"/>
        <v>1.6189999999999987</v>
      </c>
      <c r="F364" s="3">
        <f t="shared" si="60"/>
        <v>67.151907677725433</v>
      </c>
      <c r="G364" s="2">
        <f t="shared" si="61"/>
        <v>0.58056737526495183</v>
      </c>
      <c r="H364" s="2">
        <f t="shared" si="62"/>
        <v>-4.6629367034256575E-15</v>
      </c>
    </row>
    <row r="365" spans="1:8" x14ac:dyDescent="0.25">
      <c r="A365" t="s">
        <v>33</v>
      </c>
      <c r="B365">
        <v>30</v>
      </c>
      <c r="C365" s="3">
        <f t="shared" si="58"/>
        <v>13.337999999999999</v>
      </c>
      <c r="D365" s="8">
        <f t="shared" si="59"/>
        <v>3.3379999999999974</v>
      </c>
      <c r="E365" s="2">
        <f t="shared" si="57"/>
        <v>1.6189999999999987</v>
      </c>
      <c r="F365" s="3">
        <f t="shared" si="60"/>
        <v>68.185148139336803</v>
      </c>
      <c r="G365" s="2">
        <f t="shared" si="61"/>
        <v>0.58575953838862715</v>
      </c>
      <c r="H365" s="2">
        <f t="shared" si="62"/>
        <v>8.8817841970012523E-16</v>
      </c>
    </row>
    <row r="366" spans="1:8" x14ac:dyDescent="0.25">
      <c r="A366" t="s">
        <v>33</v>
      </c>
      <c r="B366">
        <v>31</v>
      </c>
      <c r="C366" s="3">
        <f t="shared" si="58"/>
        <v>13.337999999999999</v>
      </c>
      <c r="D366" s="8">
        <f t="shared" si="59"/>
        <v>3.3379999999999974</v>
      </c>
      <c r="E366" s="2">
        <f t="shared" si="57"/>
        <v>1.6189999999999987</v>
      </c>
      <c r="F366" s="3">
        <f t="shared" si="60"/>
        <v>69.213222398640113</v>
      </c>
      <c r="G366" s="2">
        <f t="shared" si="61"/>
        <v>0.59092574069668402</v>
      </c>
      <c r="H366" s="2">
        <f t="shared" si="62"/>
        <v>4.8849813083506888E-15</v>
      </c>
    </row>
    <row r="369" spans="1:8" ht="45" x14ac:dyDescent="0.25">
      <c r="C369" s="11" t="str">
        <f>C1</f>
        <v>Gross Generated Power</v>
      </c>
      <c r="D369" s="11" t="str">
        <f t="shared" ref="D369:H369" si="63">D1</f>
        <v>Net Power Generated/ Consumed</v>
      </c>
      <c r="E369" s="11" t="str">
        <f t="shared" si="63"/>
        <v>Daily Net Power Stored</v>
      </c>
      <c r="F369" s="11"/>
      <c r="G369" s="11" t="str">
        <f t="shared" si="63"/>
        <v>Daily Power Losses</v>
      </c>
      <c r="H369" s="11" t="str">
        <f t="shared" si="63"/>
        <v>Net Unstored Surplus Power</v>
      </c>
    </row>
    <row r="370" spans="1:8" x14ac:dyDescent="0.25">
      <c r="A370" s="24" t="s">
        <v>40</v>
      </c>
      <c r="C370" s="9">
        <f>SUM(C2:C368)</f>
        <v>10510.571999999991</v>
      </c>
      <c r="D370" s="9">
        <f>SUM(D2:D368)</f>
        <v>6758.5720000000401</v>
      </c>
      <c r="E370" s="9">
        <f>SUM(E2:E368)</f>
        <v>3432.3769999999945</v>
      </c>
      <c r="F370" s="9"/>
      <c r="G370" s="9">
        <f>SUM(G2:G368)</f>
        <v>346.54453626789353</v>
      </c>
      <c r="H370" s="9">
        <f>SUM(H2:H368)</f>
        <v>2883.1372413334561</v>
      </c>
    </row>
  </sheetData>
  <sheetProtection algorithmName="SHA-512" hashValue="oW1kCRRzATwhzrUYL+L8Q3YtBv4YR3SKZnn5qyzUT1K0L8bmyVxtoedQPOSrKz9SrehYqCQbIZbCaVv4o43Tqg==" saltValue="1GxmFxPmijxHugppTESQn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6"/>
  <sheetViews>
    <sheetView workbookViewId="0">
      <selection activeCell="C26" sqref="C26"/>
    </sheetView>
  </sheetViews>
  <sheetFormatPr defaultRowHeight="15" x14ac:dyDescent="0.25"/>
  <cols>
    <col min="2" max="2" width="26.7109375" bestFit="1" customWidth="1"/>
    <col min="3" max="34" width="8.28515625" customWidth="1"/>
  </cols>
  <sheetData>
    <row r="1" spans="2:35" x14ac:dyDescent="0.25">
      <c r="B1" t="s">
        <v>66</v>
      </c>
    </row>
    <row r="3" spans="2:35" x14ac:dyDescent="0.25">
      <c r="C3" t="s">
        <v>13</v>
      </c>
      <c r="AI3" t="s">
        <v>4</v>
      </c>
    </row>
    <row r="4" spans="2:35" x14ac:dyDescent="0.25">
      <c r="B4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</row>
    <row r="5" spans="2:35" x14ac:dyDescent="0.25">
      <c r="B5" t="s">
        <v>1</v>
      </c>
      <c r="D5" s="27">
        <v>0.42</v>
      </c>
      <c r="E5">
        <f>D5</f>
        <v>0.42</v>
      </c>
      <c r="F5">
        <f t="shared" ref="F5:AH5" si="0">E5</f>
        <v>0.42</v>
      </c>
      <c r="G5">
        <f t="shared" si="0"/>
        <v>0.42</v>
      </c>
      <c r="H5">
        <f t="shared" si="0"/>
        <v>0.42</v>
      </c>
      <c r="I5">
        <f t="shared" si="0"/>
        <v>0.42</v>
      </c>
      <c r="J5">
        <f t="shared" si="0"/>
        <v>0.42</v>
      </c>
      <c r="K5">
        <f t="shared" si="0"/>
        <v>0.42</v>
      </c>
      <c r="L5">
        <f t="shared" si="0"/>
        <v>0.42</v>
      </c>
      <c r="M5">
        <f t="shared" si="0"/>
        <v>0.42</v>
      </c>
      <c r="N5">
        <f t="shared" si="0"/>
        <v>0.42</v>
      </c>
      <c r="O5">
        <f t="shared" si="0"/>
        <v>0.42</v>
      </c>
      <c r="P5">
        <f t="shared" si="0"/>
        <v>0.42</v>
      </c>
      <c r="Q5">
        <f t="shared" si="0"/>
        <v>0.42</v>
      </c>
      <c r="R5">
        <f t="shared" si="0"/>
        <v>0.42</v>
      </c>
      <c r="S5">
        <f t="shared" si="0"/>
        <v>0.42</v>
      </c>
      <c r="T5">
        <f t="shared" si="0"/>
        <v>0.42</v>
      </c>
      <c r="U5">
        <f t="shared" si="0"/>
        <v>0.42</v>
      </c>
      <c r="V5">
        <f t="shared" si="0"/>
        <v>0.42</v>
      </c>
      <c r="W5">
        <f t="shared" si="0"/>
        <v>0.42</v>
      </c>
      <c r="X5">
        <f t="shared" si="0"/>
        <v>0.42</v>
      </c>
      <c r="Y5">
        <f t="shared" si="0"/>
        <v>0.42</v>
      </c>
      <c r="Z5">
        <f t="shared" si="0"/>
        <v>0.42</v>
      </c>
      <c r="AA5">
        <f t="shared" si="0"/>
        <v>0.42</v>
      </c>
      <c r="AB5">
        <f t="shared" si="0"/>
        <v>0.42</v>
      </c>
      <c r="AC5">
        <f t="shared" si="0"/>
        <v>0.42</v>
      </c>
      <c r="AD5">
        <f t="shared" si="0"/>
        <v>0.42</v>
      </c>
      <c r="AE5">
        <f t="shared" si="0"/>
        <v>0.42</v>
      </c>
      <c r="AF5">
        <f t="shared" si="0"/>
        <v>0.42</v>
      </c>
      <c r="AG5">
        <f t="shared" si="0"/>
        <v>0.42</v>
      </c>
      <c r="AH5">
        <f t="shared" si="0"/>
        <v>0.42</v>
      </c>
      <c r="AI5">
        <f>SUM(D5:AH5)</f>
        <v>13.02</v>
      </c>
    </row>
    <row r="6" spans="2:35" x14ac:dyDescent="0.25">
      <c r="B6" t="s">
        <v>2</v>
      </c>
      <c r="D6" s="27">
        <v>524</v>
      </c>
      <c r="E6" s="27">
        <v>522</v>
      </c>
      <c r="F6" s="27">
        <v>520</v>
      </c>
      <c r="G6" s="27">
        <v>519</v>
      </c>
      <c r="H6" s="27">
        <v>517</v>
      </c>
      <c r="I6" s="27">
        <v>516</v>
      </c>
      <c r="J6" s="27">
        <v>515</v>
      </c>
      <c r="K6" s="27">
        <v>513</v>
      </c>
      <c r="L6" s="27">
        <v>512</v>
      </c>
      <c r="M6" s="27">
        <v>511</v>
      </c>
      <c r="N6" s="27">
        <v>510</v>
      </c>
      <c r="O6" s="27">
        <v>509</v>
      </c>
      <c r="P6" s="27">
        <v>508</v>
      </c>
      <c r="Q6" s="27">
        <v>507</v>
      </c>
      <c r="R6" s="27">
        <v>507</v>
      </c>
      <c r="S6" s="27">
        <v>506</v>
      </c>
      <c r="T6" s="27">
        <v>506</v>
      </c>
      <c r="U6" s="27">
        <v>505</v>
      </c>
      <c r="V6" s="27">
        <v>505</v>
      </c>
      <c r="W6" s="27">
        <v>505</v>
      </c>
      <c r="X6" s="27">
        <v>505</v>
      </c>
      <c r="Y6" s="27">
        <v>505</v>
      </c>
      <c r="Z6" s="27">
        <v>505</v>
      </c>
      <c r="AA6" s="27">
        <v>505</v>
      </c>
      <c r="AB6" s="27">
        <v>505</v>
      </c>
      <c r="AC6" s="27">
        <v>505</v>
      </c>
      <c r="AD6" s="27">
        <v>506</v>
      </c>
      <c r="AE6" s="27">
        <v>506</v>
      </c>
      <c r="AF6" s="27">
        <v>507</v>
      </c>
      <c r="AG6" s="27">
        <v>508</v>
      </c>
      <c r="AH6" s="27">
        <v>508</v>
      </c>
    </row>
    <row r="7" spans="2:35" x14ac:dyDescent="0.25">
      <c r="B7" t="s">
        <v>3</v>
      </c>
      <c r="D7" s="27">
        <v>511.2</v>
      </c>
      <c r="E7">
        <f>D7</f>
        <v>511.2</v>
      </c>
      <c r="F7">
        <f t="shared" ref="F7:AH7" si="1">E7</f>
        <v>511.2</v>
      </c>
      <c r="G7">
        <f t="shared" si="1"/>
        <v>511.2</v>
      </c>
      <c r="H7">
        <f t="shared" si="1"/>
        <v>511.2</v>
      </c>
      <c r="I7">
        <f t="shared" si="1"/>
        <v>511.2</v>
      </c>
      <c r="J7">
        <f t="shared" si="1"/>
        <v>511.2</v>
      </c>
      <c r="K7">
        <f t="shared" si="1"/>
        <v>511.2</v>
      </c>
      <c r="L7">
        <f t="shared" si="1"/>
        <v>511.2</v>
      </c>
      <c r="M7">
        <f t="shared" si="1"/>
        <v>511.2</v>
      </c>
      <c r="N7">
        <f t="shared" si="1"/>
        <v>511.2</v>
      </c>
      <c r="O7">
        <f t="shared" si="1"/>
        <v>511.2</v>
      </c>
      <c r="P7">
        <f t="shared" si="1"/>
        <v>511.2</v>
      </c>
      <c r="Q7">
        <f t="shared" si="1"/>
        <v>511.2</v>
      </c>
      <c r="R7">
        <f t="shared" si="1"/>
        <v>511.2</v>
      </c>
      <c r="S7">
        <f t="shared" si="1"/>
        <v>511.2</v>
      </c>
      <c r="T7">
        <f t="shared" si="1"/>
        <v>511.2</v>
      </c>
      <c r="U7">
        <f t="shared" si="1"/>
        <v>511.2</v>
      </c>
      <c r="V7">
        <f t="shared" si="1"/>
        <v>511.2</v>
      </c>
      <c r="W7">
        <f t="shared" si="1"/>
        <v>511.2</v>
      </c>
      <c r="X7">
        <f t="shared" si="1"/>
        <v>511.2</v>
      </c>
      <c r="Y7">
        <f t="shared" si="1"/>
        <v>511.2</v>
      </c>
      <c r="Z7">
        <f t="shared" si="1"/>
        <v>511.2</v>
      </c>
      <c r="AA7">
        <f t="shared" si="1"/>
        <v>511.2</v>
      </c>
      <c r="AB7">
        <f t="shared" si="1"/>
        <v>511.2</v>
      </c>
      <c r="AC7">
        <f t="shared" si="1"/>
        <v>511.2</v>
      </c>
      <c r="AD7">
        <f t="shared" si="1"/>
        <v>511.2</v>
      </c>
      <c r="AE7">
        <f t="shared" si="1"/>
        <v>511.2</v>
      </c>
      <c r="AF7">
        <f t="shared" si="1"/>
        <v>511.2</v>
      </c>
      <c r="AG7">
        <f t="shared" si="1"/>
        <v>511.2</v>
      </c>
      <c r="AH7">
        <f t="shared" si="1"/>
        <v>511.2</v>
      </c>
    </row>
    <row r="8" spans="2:35" x14ac:dyDescent="0.25">
      <c r="B8" t="s">
        <v>5</v>
      </c>
      <c r="D8" s="1">
        <f>D5*D6/D7</f>
        <v>0.43051643192488259</v>
      </c>
      <c r="E8" s="1">
        <f t="shared" ref="E8:AH8" si="2">E5*E6/E7</f>
        <v>0.4288732394366197</v>
      </c>
      <c r="F8" s="1">
        <f t="shared" si="2"/>
        <v>0.42723004694835681</v>
      </c>
      <c r="G8" s="1">
        <f t="shared" si="2"/>
        <v>0.42640845070422534</v>
      </c>
      <c r="H8" s="1">
        <f t="shared" si="2"/>
        <v>0.42476525821596245</v>
      </c>
      <c r="I8" s="1">
        <f t="shared" si="2"/>
        <v>0.42394366197183098</v>
      </c>
      <c r="J8" s="1">
        <f t="shared" si="2"/>
        <v>0.4231220657276995</v>
      </c>
      <c r="K8" s="1">
        <f t="shared" si="2"/>
        <v>0.42147887323943661</v>
      </c>
      <c r="L8" s="1">
        <f t="shared" si="2"/>
        <v>0.42065727699530514</v>
      </c>
      <c r="M8" s="1">
        <f t="shared" si="2"/>
        <v>0.41983568075117372</v>
      </c>
      <c r="N8" s="1">
        <f t="shared" si="2"/>
        <v>0.41901408450704225</v>
      </c>
      <c r="O8" s="1">
        <f t="shared" si="2"/>
        <v>0.41819248826291083</v>
      </c>
      <c r="P8" s="1">
        <f t="shared" si="2"/>
        <v>0.4173708920187793</v>
      </c>
      <c r="Q8" s="1">
        <f t="shared" si="2"/>
        <v>0.41654929577464789</v>
      </c>
      <c r="R8" s="1">
        <f t="shared" si="2"/>
        <v>0.41654929577464789</v>
      </c>
      <c r="S8" s="1">
        <f t="shared" si="2"/>
        <v>0.41572769953051641</v>
      </c>
      <c r="T8" s="1">
        <f t="shared" si="2"/>
        <v>0.41572769953051641</v>
      </c>
      <c r="U8" s="1">
        <f t="shared" si="2"/>
        <v>0.414906103286385</v>
      </c>
      <c r="V8" s="1">
        <f t="shared" si="2"/>
        <v>0.414906103286385</v>
      </c>
      <c r="W8" s="1">
        <f t="shared" si="2"/>
        <v>0.414906103286385</v>
      </c>
      <c r="X8" s="1">
        <f t="shared" si="2"/>
        <v>0.414906103286385</v>
      </c>
      <c r="Y8" s="1">
        <f t="shared" si="2"/>
        <v>0.414906103286385</v>
      </c>
      <c r="Z8" s="1">
        <f t="shared" si="2"/>
        <v>0.414906103286385</v>
      </c>
      <c r="AA8" s="1">
        <f t="shared" si="2"/>
        <v>0.414906103286385</v>
      </c>
      <c r="AB8" s="1">
        <f t="shared" si="2"/>
        <v>0.414906103286385</v>
      </c>
      <c r="AC8" s="1">
        <f t="shared" si="2"/>
        <v>0.414906103286385</v>
      </c>
      <c r="AD8" s="1">
        <f t="shared" si="2"/>
        <v>0.41572769953051641</v>
      </c>
      <c r="AE8" s="1">
        <f t="shared" si="2"/>
        <v>0.41572769953051641</v>
      </c>
      <c r="AF8" s="1">
        <f t="shared" si="2"/>
        <v>0.41654929577464789</v>
      </c>
      <c r="AG8" s="1">
        <f t="shared" si="2"/>
        <v>0.4173708920187793</v>
      </c>
      <c r="AH8" s="1">
        <f t="shared" si="2"/>
        <v>0.4173708920187793</v>
      </c>
      <c r="AI8" s="1">
        <f>SUM(D8:AH8)</f>
        <v>12.982863849765252</v>
      </c>
    </row>
    <row r="9" spans="2:35" x14ac:dyDescent="0.25">
      <c r="B9" t="s">
        <v>6</v>
      </c>
      <c r="D9" s="7">
        <v>1.1000000000000001</v>
      </c>
      <c r="E9" s="27">
        <v>1.1499999999999999</v>
      </c>
      <c r="F9" s="27">
        <v>1.1000000000000001</v>
      </c>
      <c r="G9" s="27">
        <v>1.1499999999999999</v>
      </c>
      <c r="H9" s="27">
        <v>1.1000000000000001</v>
      </c>
      <c r="I9" s="27">
        <v>1.2</v>
      </c>
      <c r="J9" s="27">
        <v>1.1000000000000001</v>
      </c>
      <c r="K9" s="27">
        <v>1.05</v>
      </c>
      <c r="L9" s="27">
        <v>1.1000000000000001</v>
      </c>
      <c r="M9" s="27">
        <v>1.05</v>
      </c>
      <c r="N9" s="27">
        <v>1.1000000000000001</v>
      </c>
      <c r="O9" s="27">
        <v>1.05</v>
      </c>
      <c r="P9" s="27">
        <v>1.1000000000000001</v>
      </c>
      <c r="Q9" s="27">
        <v>1.05</v>
      </c>
      <c r="R9" s="27">
        <v>1.1000000000000001</v>
      </c>
      <c r="S9" s="27">
        <v>1.05</v>
      </c>
      <c r="T9" s="27">
        <v>1</v>
      </c>
      <c r="U9" s="27">
        <v>0.9</v>
      </c>
      <c r="V9" s="27">
        <v>0.75</v>
      </c>
      <c r="W9" s="27">
        <v>0.5</v>
      </c>
      <c r="X9" s="27">
        <v>0.4</v>
      </c>
      <c r="Y9" s="27">
        <v>0.5</v>
      </c>
      <c r="Z9" s="27">
        <v>0.75</v>
      </c>
      <c r="AA9" s="27">
        <v>0.9</v>
      </c>
      <c r="AB9" s="27">
        <v>1</v>
      </c>
      <c r="AC9" s="27">
        <v>1.05</v>
      </c>
      <c r="AD9" s="27">
        <v>1.05</v>
      </c>
      <c r="AE9" s="27">
        <v>1.25</v>
      </c>
      <c r="AF9" s="27">
        <v>1.1499999999999999</v>
      </c>
      <c r="AG9" s="27">
        <v>1.1000000000000001</v>
      </c>
      <c r="AH9" s="27">
        <v>1.2</v>
      </c>
    </row>
    <row r="10" spans="2:35" x14ac:dyDescent="0.25">
      <c r="B10" t="s">
        <v>7</v>
      </c>
      <c r="D10" s="1">
        <f>D8*D9</f>
        <v>0.47356807511737087</v>
      </c>
      <c r="E10" s="1">
        <f t="shared" ref="E10:AH10" si="3">E8*E9</f>
        <v>0.49320422535211261</v>
      </c>
      <c r="F10" s="1">
        <f t="shared" si="3"/>
        <v>0.46995305164319251</v>
      </c>
      <c r="G10" s="1">
        <f t="shared" si="3"/>
        <v>0.49036971830985909</v>
      </c>
      <c r="H10" s="1">
        <f t="shared" si="3"/>
        <v>0.46724178403755873</v>
      </c>
      <c r="I10" s="1">
        <f t="shared" si="3"/>
        <v>0.5087323943661971</v>
      </c>
      <c r="J10" s="1">
        <f t="shared" si="3"/>
        <v>0.46543427230046946</v>
      </c>
      <c r="K10" s="1">
        <f t="shared" si="3"/>
        <v>0.44255281690140846</v>
      </c>
      <c r="L10" s="1">
        <f t="shared" si="3"/>
        <v>0.46272300469483568</v>
      </c>
      <c r="M10" s="1">
        <f t="shared" si="3"/>
        <v>0.44082746478873241</v>
      </c>
      <c r="N10" s="1">
        <f t="shared" si="3"/>
        <v>0.46091549295774653</v>
      </c>
      <c r="O10" s="1">
        <f t="shared" si="3"/>
        <v>0.43910211267605637</v>
      </c>
      <c r="P10" s="1">
        <f t="shared" si="3"/>
        <v>0.45910798122065727</v>
      </c>
      <c r="Q10" s="1">
        <f t="shared" si="3"/>
        <v>0.43737676056338032</v>
      </c>
      <c r="R10" s="1">
        <f t="shared" si="3"/>
        <v>0.45820422535211269</v>
      </c>
      <c r="S10" s="1">
        <f t="shared" si="3"/>
        <v>0.43651408450704227</v>
      </c>
      <c r="T10" s="1">
        <f t="shared" si="3"/>
        <v>0.41572769953051641</v>
      </c>
      <c r="U10" s="1">
        <f t="shared" si="3"/>
        <v>0.37341549295774651</v>
      </c>
      <c r="V10" s="1">
        <f t="shared" si="3"/>
        <v>0.31117957746478875</v>
      </c>
      <c r="W10" s="1">
        <f t="shared" si="3"/>
        <v>0.2074530516431925</v>
      </c>
      <c r="X10" s="1">
        <f t="shared" si="3"/>
        <v>0.16596244131455401</v>
      </c>
      <c r="Y10" s="1">
        <f t="shared" si="3"/>
        <v>0.2074530516431925</v>
      </c>
      <c r="Z10" s="1">
        <f t="shared" si="3"/>
        <v>0.31117957746478875</v>
      </c>
      <c r="AA10" s="1">
        <f t="shared" si="3"/>
        <v>0.37341549295774651</v>
      </c>
      <c r="AB10" s="1">
        <f t="shared" si="3"/>
        <v>0.414906103286385</v>
      </c>
      <c r="AC10" s="1">
        <f t="shared" si="3"/>
        <v>0.43565140845070427</v>
      </c>
      <c r="AD10" s="1">
        <f t="shared" si="3"/>
        <v>0.43651408450704227</v>
      </c>
      <c r="AE10" s="1">
        <f t="shared" si="3"/>
        <v>0.5196596244131455</v>
      </c>
      <c r="AF10" s="1">
        <f t="shared" si="3"/>
        <v>0.47903169014084501</v>
      </c>
      <c r="AG10" s="1">
        <f t="shared" si="3"/>
        <v>0.45910798122065727</v>
      </c>
      <c r="AH10" s="1">
        <f t="shared" si="3"/>
        <v>0.50084507042253512</v>
      </c>
      <c r="AI10" s="1">
        <f>SUM(D10:AH10)</f>
        <v>13.017329812206571</v>
      </c>
    </row>
    <row r="12" spans="2:35" x14ac:dyDescent="0.25">
      <c r="B12" t="s">
        <v>8</v>
      </c>
      <c r="D12" s="27">
        <v>12</v>
      </c>
      <c r="E12">
        <f>D12</f>
        <v>12</v>
      </c>
      <c r="F12">
        <f t="shared" ref="F12:AH12" si="4">E12</f>
        <v>12</v>
      </c>
      <c r="G12">
        <f t="shared" si="4"/>
        <v>12</v>
      </c>
      <c r="H12">
        <f t="shared" si="4"/>
        <v>12</v>
      </c>
      <c r="I12">
        <f t="shared" si="4"/>
        <v>12</v>
      </c>
      <c r="J12">
        <f t="shared" si="4"/>
        <v>12</v>
      </c>
      <c r="K12">
        <f t="shared" si="4"/>
        <v>12</v>
      </c>
      <c r="L12">
        <f t="shared" si="4"/>
        <v>12</v>
      </c>
      <c r="M12">
        <f t="shared" si="4"/>
        <v>12</v>
      </c>
      <c r="N12">
        <f t="shared" si="4"/>
        <v>12</v>
      </c>
      <c r="O12">
        <f t="shared" si="4"/>
        <v>12</v>
      </c>
      <c r="P12">
        <f t="shared" si="4"/>
        <v>12</v>
      </c>
      <c r="Q12">
        <f t="shared" si="4"/>
        <v>12</v>
      </c>
      <c r="R12">
        <f t="shared" si="4"/>
        <v>12</v>
      </c>
      <c r="S12">
        <f t="shared" si="4"/>
        <v>12</v>
      </c>
      <c r="T12">
        <f t="shared" si="4"/>
        <v>12</v>
      </c>
      <c r="U12">
        <f t="shared" si="4"/>
        <v>12</v>
      </c>
      <c r="V12">
        <f t="shared" si="4"/>
        <v>12</v>
      </c>
      <c r="W12">
        <f t="shared" si="4"/>
        <v>12</v>
      </c>
      <c r="X12">
        <f t="shared" si="4"/>
        <v>12</v>
      </c>
      <c r="Y12">
        <f t="shared" si="4"/>
        <v>12</v>
      </c>
      <c r="Z12">
        <f t="shared" si="4"/>
        <v>12</v>
      </c>
      <c r="AA12">
        <f t="shared" si="4"/>
        <v>12</v>
      </c>
      <c r="AB12">
        <f t="shared" si="4"/>
        <v>12</v>
      </c>
      <c r="AC12">
        <f t="shared" si="4"/>
        <v>12</v>
      </c>
      <c r="AD12">
        <f t="shared" si="4"/>
        <v>12</v>
      </c>
      <c r="AE12">
        <f t="shared" si="4"/>
        <v>12</v>
      </c>
      <c r="AF12">
        <f t="shared" si="4"/>
        <v>12</v>
      </c>
      <c r="AG12">
        <f t="shared" si="4"/>
        <v>12</v>
      </c>
      <c r="AH12">
        <f t="shared" si="4"/>
        <v>12</v>
      </c>
    </row>
    <row r="13" spans="2:35" x14ac:dyDescent="0.25">
      <c r="B13" t="s">
        <v>64</v>
      </c>
      <c r="D13" s="28">
        <v>0.95</v>
      </c>
      <c r="E13" s="4">
        <f>D13</f>
        <v>0.95</v>
      </c>
      <c r="F13" s="4">
        <f t="shared" ref="F13:AH13" si="5">E13</f>
        <v>0.95</v>
      </c>
      <c r="G13" s="4">
        <f t="shared" si="5"/>
        <v>0.95</v>
      </c>
      <c r="H13" s="4">
        <f t="shared" si="5"/>
        <v>0.95</v>
      </c>
      <c r="I13" s="4">
        <f t="shared" si="5"/>
        <v>0.95</v>
      </c>
      <c r="J13" s="4">
        <f t="shared" si="5"/>
        <v>0.95</v>
      </c>
      <c r="K13" s="4">
        <f t="shared" si="5"/>
        <v>0.95</v>
      </c>
      <c r="L13" s="4">
        <f t="shared" si="5"/>
        <v>0.95</v>
      </c>
      <c r="M13" s="4">
        <f t="shared" si="5"/>
        <v>0.95</v>
      </c>
      <c r="N13" s="4">
        <f t="shared" si="5"/>
        <v>0.95</v>
      </c>
      <c r="O13" s="4">
        <f t="shared" si="5"/>
        <v>0.95</v>
      </c>
      <c r="P13" s="4">
        <f t="shared" si="5"/>
        <v>0.95</v>
      </c>
      <c r="Q13" s="4">
        <f t="shared" si="5"/>
        <v>0.95</v>
      </c>
      <c r="R13" s="4">
        <f t="shared" si="5"/>
        <v>0.95</v>
      </c>
      <c r="S13" s="4">
        <f t="shared" si="5"/>
        <v>0.95</v>
      </c>
      <c r="T13" s="4">
        <f t="shared" si="5"/>
        <v>0.95</v>
      </c>
      <c r="U13" s="4">
        <f t="shared" si="5"/>
        <v>0.95</v>
      </c>
      <c r="V13" s="4">
        <f t="shared" si="5"/>
        <v>0.95</v>
      </c>
      <c r="W13" s="4">
        <f t="shared" si="5"/>
        <v>0.95</v>
      </c>
      <c r="X13" s="4">
        <f t="shared" si="5"/>
        <v>0.95</v>
      </c>
      <c r="Y13" s="4">
        <f t="shared" si="5"/>
        <v>0.95</v>
      </c>
      <c r="Z13" s="4">
        <f t="shared" si="5"/>
        <v>0.95</v>
      </c>
      <c r="AA13" s="4">
        <f t="shared" si="5"/>
        <v>0.95</v>
      </c>
      <c r="AB13" s="4">
        <f t="shared" si="5"/>
        <v>0.95</v>
      </c>
      <c r="AC13" s="4">
        <f t="shared" si="5"/>
        <v>0.95</v>
      </c>
      <c r="AD13" s="4">
        <f t="shared" si="5"/>
        <v>0.95</v>
      </c>
      <c r="AE13" s="4">
        <f t="shared" si="5"/>
        <v>0.95</v>
      </c>
      <c r="AF13" s="4">
        <f t="shared" si="5"/>
        <v>0.95</v>
      </c>
      <c r="AG13" s="4">
        <f t="shared" si="5"/>
        <v>0.95</v>
      </c>
      <c r="AH13" s="4">
        <f t="shared" si="5"/>
        <v>0.95</v>
      </c>
    </row>
    <row r="14" spans="2:35" x14ac:dyDescent="0.25">
      <c r="B14" t="s">
        <v>10</v>
      </c>
      <c r="D14" s="2">
        <f>D10*D12*D13</f>
        <v>5.3986760563380285</v>
      </c>
      <c r="E14" s="2">
        <f t="shared" ref="E14:AH14" si="6">E10*E12*E13</f>
        <v>5.6225281690140836</v>
      </c>
      <c r="F14" s="2">
        <f t="shared" si="6"/>
        <v>5.3574647887323943</v>
      </c>
      <c r="G14" s="2">
        <f t="shared" si="6"/>
        <v>5.5902147887323936</v>
      </c>
      <c r="H14" s="2">
        <f t="shared" si="6"/>
        <v>5.3265563380281691</v>
      </c>
      <c r="I14" s="2">
        <f t="shared" si="6"/>
        <v>5.7995492957746464</v>
      </c>
      <c r="J14" s="2">
        <f t="shared" si="6"/>
        <v>5.305950704225352</v>
      </c>
      <c r="K14" s="2">
        <f t="shared" si="6"/>
        <v>5.0451021126760569</v>
      </c>
      <c r="L14" s="2">
        <f t="shared" si="6"/>
        <v>5.2750422535211268</v>
      </c>
      <c r="M14" s="2">
        <f t="shared" si="6"/>
        <v>5.0254330985915487</v>
      </c>
      <c r="N14" s="2">
        <f t="shared" si="6"/>
        <v>5.2544366197183097</v>
      </c>
      <c r="O14" s="2">
        <f t="shared" si="6"/>
        <v>5.0057640845070424</v>
      </c>
      <c r="P14" s="2">
        <f t="shared" si="6"/>
        <v>5.2338309859154926</v>
      </c>
      <c r="Q14" s="2">
        <f t="shared" si="6"/>
        <v>4.986095070422536</v>
      </c>
      <c r="R14" s="2">
        <f t="shared" si="6"/>
        <v>5.2235281690140845</v>
      </c>
      <c r="S14" s="2">
        <f t="shared" si="6"/>
        <v>4.976260563380281</v>
      </c>
      <c r="T14" s="2">
        <f t="shared" si="6"/>
        <v>4.7392957746478874</v>
      </c>
      <c r="U14" s="2">
        <f t="shared" si="6"/>
        <v>4.2569366197183101</v>
      </c>
      <c r="V14" s="2">
        <f t="shared" si="6"/>
        <v>3.5474471830985914</v>
      </c>
      <c r="W14" s="2">
        <f t="shared" si="6"/>
        <v>2.3649647887323946</v>
      </c>
      <c r="X14" s="2">
        <f t="shared" si="6"/>
        <v>1.8919718309859157</v>
      </c>
      <c r="Y14" s="2">
        <f t="shared" si="6"/>
        <v>2.3649647887323946</v>
      </c>
      <c r="Z14" s="2">
        <f t="shared" si="6"/>
        <v>3.5474471830985914</v>
      </c>
      <c r="AA14" s="2">
        <f t="shared" si="6"/>
        <v>4.2569366197183101</v>
      </c>
      <c r="AB14" s="2">
        <f t="shared" si="6"/>
        <v>4.7299295774647891</v>
      </c>
      <c r="AC14" s="2">
        <f t="shared" si="6"/>
        <v>4.9664260563380278</v>
      </c>
      <c r="AD14" s="2">
        <f t="shared" si="6"/>
        <v>4.976260563380281</v>
      </c>
      <c r="AE14" s="2">
        <f t="shared" si="6"/>
        <v>5.9241197183098588</v>
      </c>
      <c r="AF14" s="2">
        <f t="shared" si="6"/>
        <v>5.4609612676056329</v>
      </c>
      <c r="AG14" s="2">
        <f t="shared" si="6"/>
        <v>5.2338309859154926</v>
      </c>
      <c r="AH14" s="2">
        <f t="shared" si="6"/>
        <v>5.7096338028169002</v>
      </c>
    </row>
    <row r="16" spans="2:35" x14ac:dyDescent="0.25">
      <c r="B16" t="s">
        <v>9</v>
      </c>
      <c r="D16" s="27">
        <v>8.25</v>
      </c>
      <c r="E16">
        <f>D16</f>
        <v>8.25</v>
      </c>
      <c r="F16">
        <f t="shared" ref="F16:AH16" si="7">E16</f>
        <v>8.25</v>
      </c>
      <c r="G16">
        <f t="shared" si="7"/>
        <v>8.25</v>
      </c>
      <c r="H16">
        <f t="shared" si="7"/>
        <v>8.25</v>
      </c>
      <c r="I16">
        <f t="shared" si="7"/>
        <v>8.25</v>
      </c>
      <c r="J16">
        <f t="shared" si="7"/>
        <v>8.25</v>
      </c>
      <c r="K16">
        <f t="shared" si="7"/>
        <v>8.25</v>
      </c>
      <c r="L16">
        <f t="shared" si="7"/>
        <v>8.25</v>
      </c>
      <c r="M16">
        <f t="shared" si="7"/>
        <v>8.25</v>
      </c>
      <c r="N16">
        <f t="shared" si="7"/>
        <v>8.25</v>
      </c>
      <c r="O16">
        <f t="shared" si="7"/>
        <v>8.25</v>
      </c>
      <c r="P16">
        <f t="shared" si="7"/>
        <v>8.25</v>
      </c>
      <c r="Q16">
        <f t="shared" si="7"/>
        <v>8.25</v>
      </c>
      <c r="R16">
        <f t="shared" si="7"/>
        <v>8.25</v>
      </c>
      <c r="S16">
        <f t="shared" si="7"/>
        <v>8.25</v>
      </c>
      <c r="T16">
        <f t="shared" si="7"/>
        <v>8.25</v>
      </c>
      <c r="U16">
        <f t="shared" si="7"/>
        <v>8.25</v>
      </c>
      <c r="V16">
        <f t="shared" si="7"/>
        <v>8.25</v>
      </c>
      <c r="W16">
        <f t="shared" si="7"/>
        <v>8.25</v>
      </c>
      <c r="X16">
        <f t="shared" si="7"/>
        <v>8.25</v>
      </c>
      <c r="Y16">
        <f t="shared" si="7"/>
        <v>8.25</v>
      </c>
      <c r="Z16">
        <f t="shared" si="7"/>
        <v>8.25</v>
      </c>
      <c r="AA16">
        <f t="shared" si="7"/>
        <v>8.25</v>
      </c>
      <c r="AB16">
        <f t="shared" si="7"/>
        <v>8.25</v>
      </c>
      <c r="AC16">
        <f t="shared" si="7"/>
        <v>8.25</v>
      </c>
      <c r="AD16">
        <f t="shared" si="7"/>
        <v>8.25</v>
      </c>
      <c r="AE16">
        <f t="shared" si="7"/>
        <v>8.25</v>
      </c>
      <c r="AF16">
        <f t="shared" si="7"/>
        <v>8.25</v>
      </c>
      <c r="AG16">
        <f t="shared" si="7"/>
        <v>8.25</v>
      </c>
      <c r="AH16">
        <f t="shared" si="7"/>
        <v>8.25</v>
      </c>
    </row>
    <row r="17" spans="2:35" x14ac:dyDescent="0.25">
      <c r="B17" t="s">
        <v>11</v>
      </c>
      <c r="D17" s="6">
        <f>D14-D16</f>
        <v>-2.8513239436619715</v>
      </c>
      <c r="E17" s="6">
        <f t="shared" ref="E17:P17" si="8">E14-E16</f>
        <v>-2.6274718309859164</v>
      </c>
      <c r="F17" s="6">
        <f t="shared" si="8"/>
        <v>-2.8925352112676057</v>
      </c>
      <c r="G17" s="6">
        <f t="shared" si="8"/>
        <v>-2.6597852112676064</v>
      </c>
      <c r="H17" s="6">
        <f t="shared" si="8"/>
        <v>-2.9234436619718309</v>
      </c>
      <c r="I17" s="6">
        <f t="shared" si="8"/>
        <v>-2.4504507042253536</v>
      </c>
      <c r="J17" s="6">
        <f t="shared" si="8"/>
        <v>-2.944049295774648</v>
      </c>
      <c r="K17" s="6">
        <f t="shared" si="8"/>
        <v>-3.2048978873239431</v>
      </c>
      <c r="L17" s="6">
        <f t="shared" si="8"/>
        <v>-2.9749577464788732</v>
      </c>
      <c r="M17" s="6">
        <f t="shared" si="8"/>
        <v>-3.2245669014084513</v>
      </c>
      <c r="N17" s="6">
        <f t="shared" si="8"/>
        <v>-2.9955633802816903</v>
      </c>
      <c r="O17" s="6">
        <f t="shared" si="8"/>
        <v>-3.2442359154929576</v>
      </c>
      <c r="P17" s="6">
        <f t="shared" si="8"/>
        <v>-3.0161690140845074</v>
      </c>
      <c r="Q17" s="6">
        <f t="shared" ref="Q17" si="9">Q14-Q16</f>
        <v>-3.263904929577464</v>
      </c>
      <c r="R17" s="6">
        <f t="shared" ref="R17" si="10">R14-R16</f>
        <v>-3.0264718309859155</v>
      </c>
      <c r="S17" s="6">
        <f t="shared" ref="S17" si="11">S14-S16</f>
        <v>-3.273739436619719</v>
      </c>
      <c r="T17" s="6">
        <f t="shared" ref="T17" si="12">T14-T16</f>
        <v>-3.5107042253521126</v>
      </c>
      <c r="U17" s="6">
        <f t="shared" ref="U17" si="13">U14-U16</f>
        <v>-3.9930633802816899</v>
      </c>
      <c r="V17" s="6">
        <f t="shared" ref="V17" si="14">V14-V16</f>
        <v>-4.7025528169014086</v>
      </c>
      <c r="W17" s="6">
        <f t="shared" ref="W17" si="15">W14-W16</f>
        <v>-5.8850352112676054</v>
      </c>
      <c r="X17" s="6">
        <f t="shared" ref="X17" si="16">X14-X16</f>
        <v>-6.3580281690140845</v>
      </c>
      <c r="Y17" s="6">
        <f t="shared" ref="Y17" si="17">Y14-Y16</f>
        <v>-5.8850352112676054</v>
      </c>
      <c r="Z17" s="6">
        <f t="shared" ref="Z17" si="18">Z14-Z16</f>
        <v>-4.7025528169014086</v>
      </c>
      <c r="AA17" s="6">
        <f t="shared" ref="AA17" si="19">AA14-AA16</f>
        <v>-3.9930633802816899</v>
      </c>
      <c r="AB17" s="6">
        <f t="shared" ref="AB17" si="20">AB14-AB16</f>
        <v>-3.5200704225352109</v>
      </c>
      <c r="AC17" s="6">
        <f t="shared" ref="AC17" si="21">AC14-AC16</f>
        <v>-3.2835739436619722</v>
      </c>
      <c r="AD17" s="6">
        <f t="shared" ref="AD17" si="22">AD14-AD16</f>
        <v>-3.273739436619719</v>
      </c>
      <c r="AE17" s="6">
        <f t="shared" ref="AE17" si="23">AE14-AE16</f>
        <v>-2.3258802816901412</v>
      </c>
      <c r="AF17" s="6">
        <f t="shared" ref="AF17" si="24">AF14-AF16</f>
        <v>-2.7890387323943671</v>
      </c>
      <c r="AG17" s="6">
        <f t="shared" ref="AG17" si="25">AG14-AG16</f>
        <v>-3.0161690140845074</v>
      </c>
      <c r="AH17" s="6">
        <f t="shared" ref="AH17" si="26">AH14-AH16</f>
        <v>-2.5403661971830998</v>
      </c>
      <c r="AI17" s="6">
        <f>SUM(D17:AH17)</f>
        <v>-107.3524401408451</v>
      </c>
    </row>
    <row r="19" spans="2:35" x14ac:dyDescent="0.25">
      <c r="B19" t="s">
        <v>65</v>
      </c>
      <c r="D19" s="28">
        <v>0.5</v>
      </c>
      <c r="E19" s="5">
        <f>D19</f>
        <v>0.5</v>
      </c>
      <c r="F19" s="5">
        <f t="shared" ref="F19:AH19" si="27">E19</f>
        <v>0.5</v>
      </c>
      <c r="G19" s="5">
        <f t="shared" si="27"/>
        <v>0.5</v>
      </c>
      <c r="H19" s="5">
        <f t="shared" si="27"/>
        <v>0.5</v>
      </c>
      <c r="I19" s="5">
        <f t="shared" si="27"/>
        <v>0.5</v>
      </c>
      <c r="J19" s="5">
        <f t="shared" si="27"/>
        <v>0.5</v>
      </c>
      <c r="K19" s="5">
        <f t="shared" si="27"/>
        <v>0.5</v>
      </c>
      <c r="L19" s="5">
        <f t="shared" si="27"/>
        <v>0.5</v>
      </c>
      <c r="M19" s="5">
        <f t="shared" si="27"/>
        <v>0.5</v>
      </c>
      <c r="N19" s="5">
        <f t="shared" si="27"/>
        <v>0.5</v>
      </c>
      <c r="O19" s="5">
        <f t="shared" si="27"/>
        <v>0.5</v>
      </c>
      <c r="P19" s="5">
        <f t="shared" si="27"/>
        <v>0.5</v>
      </c>
      <c r="Q19" s="5">
        <f t="shared" si="27"/>
        <v>0.5</v>
      </c>
      <c r="R19" s="5">
        <f t="shared" si="27"/>
        <v>0.5</v>
      </c>
      <c r="S19" s="5">
        <f t="shared" si="27"/>
        <v>0.5</v>
      </c>
      <c r="T19" s="5">
        <f t="shared" si="27"/>
        <v>0.5</v>
      </c>
      <c r="U19" s="5">
        <f t="shared" si="27"/>
        <v>0.5</v>
      </c>
      <c r="V19" s="5">
        <f t="shared" si="27"/>
        <v>0.5</v>
      </c>
      <c r="W19" s="5">
        <f t="shared" si="27"/>
        <v>0.5</v>
      </c>
      <c r="X19" s="5">
        <f t="shared" si="27"/>
        <v>0.5</v>
      </c>
      <c r="Y19" s="5">
        <f t="shared" si="27"/>
        <v>0.5</v>
      </c>
      <c r="Z19" s="5">
        <f t="shared" si="27"/>
        <v>0.5</v>
      </c>
      <c r="AA19" s="5">
        <f t="shared" si="27"/>
        <v>0.5</v>
      </c>
      <c r="AB19" s="5">
        <f t="shared" si="27"/>
        <v>0.5</v>
      </c>
      <c r="AC19" s="5">
        <f t="shared" si="27"/>
        <v>0.5</v>
      </c>
      <c r="AD19" s="5">
        <f t="shared" si="27"/>
        <v>0.5</v>
      </c>
      <c r="AE19" s="5">
        <f t="shared" si="27"/>
        <v>0.5</v>
      </c>
      <c r="AF19" s="5">
        <f t="shared" si="27"/>
        <v>0.5</v>
      </c>
      <c r="AG19" s="5">
        <f t="shared" si="27"/>
        <v>0.5</v>
      </c>
      <c r="AH19" s="5">
        <f t="shared" si="27"/>
        <v>0.5</v>
      </c>
    </row>
    <row r="20" spans="2:35" x14ac:dyDescent="0.25">
      <c r="B20" t="s">
        <v>62</v>
      </c>
      <c r="D20" s="27">
        <v>0.1</v>
      </c>
      <c r="E20">
        <f>D20</f>
        <v>0.1</v>
      </c>
      <c r="F20">
        <f t="shared" ref="F20:AH20" si="28">E20</f>
        <v>0.1</v>
      </c>
      <c r="G20">
        <f t="shared" si="28"/>
        <v>0.1</v>
      </c>
      <c r="H20">
        <f t="shared" si="28"/>
        <v>0.1</v>
      </c>
      <c r="I20">
        <f t="shared" si="28"/>
        <v>0.1</v>
      </c>
      <c r="J20">
        <f t="shared" si="28"/>
        <v>0.1</v>
      </c>
      <c r="K20">
        <f t="shared" si="28"/>
        <v>0.1</v>
      </c>
      <c r="L20">
        <f t="shared" si="28"/>
        <v>0.1</v>
      </c>
      <c r="M20">
        <f t="shared" si="28"/>
        <v>0.1</v>
      </c>
      <c r="N20">
        <f t="shared" si="28"/>
        <v>0.1</v>
      </c>
      <c r="O20">
        <f t="shared" si="28"/>
        <v>0.1</v>
      </c>
      <c r="P20">
        <f t="shared" si="28"/>
        <v>0.1</v>
      </c>
      <c r="Q20">
        <f t="shared" si="28"/>
        <v>0.1</v>
      </c>
      <c r="R20">
        <f t="shared" si="28"/>
        <v>0.1</v>
      </c>
      <c r="S20">
        <f t="shared" si="28"/>
        <v>0.1</v>
      </c>
      <c r="T20">
        <f t="shared" si="28"/>
        <v>0.1</v>
      </c>
      <c r="U20">
        <f t="shared" si="28"/>
        <v>0.1</v>
      </c>
      <c r="V20">
        <f t="shared" si="28"/>
        <v>0.1</v>
      </c>
      <c r="W20">
        <f t="shared" si="28"/>
        <v>0.1</v>
      </c>
      <c r="X20">
        <f t="shared" si="28"/>
        <v>0.1</v>
      </c>
      <c r="Y20">
        <f t="shared" si="28"/>
        <v>0.1</v>
      </c>
      <c r="Z20">
        <f t="shared" si="28"/>
        <v>0.1</v>
      </c>
      <c r="AA20">
        <f t="shared" si="28"/>
        <v>0.1</v>
      </c>
      <c r="AB20">
        <f t="shared" si="28"/>
        <v>0.1</v>
      </c>
      <c r="AC20">
        <f t="shared" si="28"/>
        <v>0.1</v>
      </c>
      <c r="AD20">
        <f t="shared" si="28"/>
        <v>0.1</v>
      </c>
      <c r="AE20">
        <f t="shared" si="28"/>
        <v>0.1</v>
      </c>
      <c r="AF20">
        <f t="shared" si="28"/>
        <v>0.1</v>
      </c>
      <c r="AG20">
        <f t="shared" si="28"/>
        <v>0.1</v>
      </c>
      <c r="AH20">
        <f t="shared" si="28"/>
        <v>0.1</v>
      </c>
    </row>
    <row r="21" spans="2:35" x14ac:dyDescent="0.25">
      <c r="B21" t="s">
        <v>63</v>
      </c>
      <c r="D21" s="2">
        <f>IF(D17&gt;D20,(D17-D20)*D19,0)</f>
        <v>0</v>
      </c>
      <c r="E21" s="2">
        <f t="shared" ref="E21:AH21" si="29">IF(E17&gt;E20,(E17-E20)*E19,0)</f>
        <v>0</v>
      </c>
      <c r="F21" s="2">
        <f t="shared" si="29"/>
        <v>0</v>
      </c>
      <c r="G21" s="2">
        <f t="shared" si="29"/>
        <v>0</v>
      </c>
      <c r="H21" s="2">
        <f t="shared" si="29"/>
        <v>0</v>
      </c>
      <c r="I21" s="2">
        <f t="shared" si="29"/>
        <v>0</v>
      </c>
      <c r="J21" s="2">
        <f t="shared" si="29"/>
        <v>0</v>
      </c>
      <c r="K21" s="2">
        <f t="shared" si="29"/>
        <v>0</v>
      </c>
      <c r="L21" s="2">
        <f t="shared" si="29"/>
        <v>0</v>
      </c>
      <c r="M21" s="2">
        <f t="shared" si="29"/>
        <v>0</v>
      </c>
      <c r="N21" s="2">
        <f t="shared" si="29"/>
        <v>0</v>
      </c>
      <c r="O21" s="2">
        <f t="shared" si="29"/>
        <v>0</v>
      </c>
      <c r="P21" s="2">
        <f t="shared" si="29"/>
        <v>0</v>
      </c>
      <c r="Q21" s="2">
        <f t="shared" si="29"/>
        <v>0</v>
      </c>
      <c r="R21" s="2">
        <f t="shared" si="29"/>
        <v>0</v>
      </c>
      <c r="S21" s="2">
        <f t="shared" si="29"/>
        <v>0</v>
      </c>
      <c r="T21" s="2">
        <f t="shared" si="29"/>
        <v>0</v>
      </c>
      <c r="U21" s="2">
        <f t="shared" si="29"/>
        <v>0</v>
      </c>
      <c r="V21" s="2">
        <f t="shared" si="29"/>
        <v>0</v>
      </c>
      <c r="W21" s="2">
        <f t="shared" si="29"/>
        <v>0</v>
      </c>
      <c r="X21" s="2">
        <f t="shared" si="29"/>
        <v>0</v>
      </c>
      <c r="Y21" s="2">
        <f t="shared" si="29"/>
        <v>0</v>
      </c>
      <c r="Z21" s="2">
        <f t="shared" si="29"/>
        <v>0</v>
      </c>
      <c r="AA21" s="2">
        <f t="shared" si="29"/>
        <v>0</v>
      </c>
      <c r="AB21" s="2">
        <f t="shared" si="29"/>
        <v>0</v>
      </c>
      <c r="AC21" s="2">
        <f t="shared" si="29"/>
        <v>0</v>
      </c>
      <c r="AD21" s="2">
        <f t="shared" si="29"/>
        <v>0</v>
      </c>
      <c r="AE21" s="2">
        <f t="shared" si="29"/>
        <v>0</v>
      </c>
      <c r="AF21" s="2">
        <f t="shared" si="29"/>
        <v>0</v>
      </c>
      <c r="AG21" s="2">
        <f t="shared" si="29"/>
        <v>0</v>
      </c>
      <c r="AH21" s="2">
        <f t="shared" si="29"/>
        <v>0</v>
      </c>
      <c r="AI21" s="2">
        <f>SUM(D21:AH21)</f>
        <v>0</v>
      </c>
    </row>
    <row r="22" spans="2:35" x14ac:dyDescent="0.25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x14ac:dyDescent="0.25">
      <c r="B23" t="s">
        <v>37</v>
      </c>
      <c r="D23" s="29">
        <v>5.0000000000000001E-3</v>
      </c>
      <c r="E23" s="26">
        <f>D23</f>
        <v>5.0000000000000001E-3</v>
      </c>
      <c r="F23" s="26">
        <f t="shared" ref="F23:AH23" si="30">E23</f>
        <v>5.0000000000000001E-3</v>
      </c>
      <c r="G23" s="26">
        <f t="shared" si="30"/>
        <v>5.0000000000000001E-3</v>
      </c>
      <c r="H23" s="26">
        <f t="shared" si="30"/>
        <v>5.0000000000000001E-3</v>
      </c>
      <c r="I23" s="26">
        <f t="shared" si="30"/>
        <v>5.0000000000000001E-3</v>
      </c>
      <c r="J23" s="26">
        <f t="shared" si="30"/>
        <v>5.0000000000000001E-3</v>
      </c>
      <c r="K23" s="26">
        <f t="shared" si="30"/>
        <v>5.0000000000000001E-3</v>
      </c>
      <c r="L23" s="26">
        <f t="shared" si="30"/>
        <v>5.0000000000000001E-3</v>
      </c>
      <c r="M23" s="26">
        <f t="shared" si="30"/>
        <v>5.0000000000000001E-3</v>
      </c>
      <c r="N23" s="26">
        <f t="shared" si="30"/>
        <v>5.0000000000000001E-3</v>
      </c>
      <c r="O23" s="26">
        <f t="shared" si="30"/>
        <v>5.0000000000000001E-3</v>
      </c>
      <c r="P23" s="26">
        <f t="shared" si="30"/>
        <v>5.0000000000000001E-3</v>
      </c>
      <c r="Q23" s="26">
        <f t="shared" si="30"/>
        <v>5.0000000000000001E-3</v>
      </c>
      <c r="R23" s="26">
        <f t="shared" si="30"/>
        <v>5.0000000000000001E-3</v>
      </c>
      <c r="S23" s="26">
        <f t="shared" si="30"/>
        <v>5.0000000000000001E-3</v>
      </c>
      <c r="T23" s="26">
        <f t="shared" si="30"/>
        <v>5.0000000000000001E-3</v>
      </c>
      <c r="U23" s="26">
        <f t="shared" si="30"/>
        <v>5.0000000000000001E-3</v>
      </c>
      <c r="V23" s="26">
        <f t="shared" si="30"/>
        <v>5.0000000000000001E-3</v>
      </c>
      <c r="W23" s="26">
        <f t="shared" si="30"/>
        <v>5.0000000000000001E-3</v>
      </c>
      <c r="X23" s="26">
        <f t="shared" si="30"/>
        <v>5.0000000000000001E-3</v>
      </c>
      <c r="Y23" s="26">
        <f t="shared" si="30"/>
        <v>5.0000000000000001E-3</v>
      </c>
      <c r="Z23" s="26">
        <f t="shared" si="30"/>
        <v>5.0000000000000001E-3</v>
      </c>
      <c r="AA23" s="26">
        <f t="shared" si="30"/>
        <v>5.0000000000000001E-3</v>
      </c>
      <c r="AB23" s="26">
        <f t="shared" si="30"/>
        <v>5.0000000000000001E-3</v>
      </c>
      <c r="AC23" s="26">
        <f t="shared" si="30"/>
        <v>5.0000000000000001E-3</v>
      </c>
      <c r="AD23" s="26">
        <f t="shared" si="30"/>
        <v>5.0000000000000001E-3</v>
      </c>
      <c r="AE23" s="26">
        <f t="shared" si="30"/>
        <v>5.0000000000000001E-3</v>
      </c>
      <c r="AF23" s="26">
        <f t="shared" si="30"/>
        <v>5.0000000000000001E-3</v>
      </c>
      <c r="AG23" s="26">
        <f t="shared" si="30"/>
        <v>5.0000000000000001E-3</v>
      </c>
      <c r="AH23" s="26">
        <f t="shared" si="30"/>
        <v>5.0000000000000001E-3</v>
      </c>
      <c r="AI23" s="2"/>
    </row>
    <row r="24" spans="2:35" x14ac:dyDescent="0.25">
      <c r="B24" t="s">
        <v>38</v>
      </c>
      <c r="D24" s="13">
        <v>0.25</v>
      </c>
      <c r="E24" s="2">
        <f>D24</f>
        <v>0.25</v>
      </c>
      <c r="F24" s="2">
        <f t="shared" ref="F24:AH24" si="31">E24</f>
        <v>0.25</v>
      </c>
      <c r="G24" s="2">
        <f t="shared" si="31"/>
        <v>0.25</v>
      </c>
      <c r="H24" s="2">
        <f t="shared" si="31"/>
        <v>0.25</v>
      </c>
      <c r="I24" s="2">
        <f t="shared" si="31"/>
        <v>0.25</v>
      </c>
      <c r="J24" s="2">
        <f t="shared" si="31"/>
        <v>0.25</v>
      </c>
      <c r="K24" s="2">
        <f t="shared" si="31"/>
        <v>0.25</v>
      </c>
      <c r="L24" s="2">
        <f t="shared" si="31"/>
        <v>0.25</v>
      </c>
      <c r="M24" s="2">
        <f t="shared" si="31"/>
        <v>0.25</v>
      </c>
      <c r="N24" s="2">
        <f t="shared" si="31"/>
        <v>0.25</v>
      </c>
      <c r="O24" s="2">
        <f t="shared" si="31"/>
        <v>0.25</v>
      </c>
      <c r="P24" s="2">
        <f t="shared" si="31"/>
        <v>0.25</v>
      </c>
      <c r="Q24" s="2">
        <f t="shared" si="31"/>
        <v>0.25</v>
      </c>
      <c r="R24" s="2">
        <f t="shared" si="31"/>
        <v>0.25</v>
      </c>
      <c r="S24" s="2">
        <f t="shared" si="31"/>
        <v>0.25</v>
      </c>
      <c r="T24" s="2">
        <f t="shared" si="31"/>
        <v>0.25</v>
      </c>
      <c r="U24" s="2">
        <f t="shared" si="31"/>
        <v>0.25</v>
      </c>
      <c r="V24" s="2">
        <f t="shared" si="31"/>
        <v>0.25</v>
      </c>
      <c r="W24" s="2">
        <f t="shared" si="31"/>
        <v>0.25</v>
      </c>
      <c r="X24" s="2">
        <f t="shared" si="31"/>
        <v>0.25</v>
      </c>
      <c r="Y24" s="2">
        <f t="shared" si="31"/>
        <v>0.25</v>
      </c>
      <c r="Z24" s="2">
        <f t="shared" si="31"/>
        <v>0.25</v>
      </c>
      <c r="AA24" s="2">
        <f t="shared" si="31"/>
        <v>0.25</v>
      </c>
      <c r="AB24" s="2">
        <f t="shared" si="31"/>
        <v>0.25</v>
      </c>
      <c r="AC24" s="2">
        <f t="shared" si="31"/>
        <v>0.25</v>
      </c>
      <c r="AD24" s="2">
        <f t="shared" si="31"/>
        <v>0.25</v>
      </c>
      <c r="AE24" s="2">
        <f t="shared" si="31"/>
        <v>0.25</v>
      </c>
      <c r="AF24" s="2">
        <f t="shared" si="31"/>
        <v>0.25</v>
      </c>
      <c r="AG24" s="2">
        <f t="shared" si="31"/>
        <v>0.25</v>
      </c>
      <c r="AH24" s="2">
        <f t="shared" si="31"/>
        <v>0.25</v>
      </c>
      <c r="AI24" s="2"/>
    </row>
    <row r="26" spans="2:35" x14ac:dyDescent="0.25">
      <c r="B26" t="s">
        <v>12</v>
      </c>
      <c r="C26" s="27">
        <v>100</v>
      </c>
      <c r="D26" s="2">
        <f>IF(C26+D17&gt;0,C26*(1-D23)-D24+(IF(D17&lt;0,D17,D21)),D21)</f>
        <v>96.398676056338033</v>
      </c>
      <c r="E26" s="2">
        <f>IF(D26+E17&gt;0,D26*(1-E23)-E24+(IF(E17&lt;0,E17,E21)),E21)</f>
        <v>93.039210845070428</v>
      </c>
      <c r="F26" s="2">
        <f t="shared" ref="F26:AH26" si="32">IF(E26+F17&gt;0,E26*(1-F23)-F24+(IF(F17&lt;0,F17,F21)),F21)</f>
        <v>89.43147957957747</v>
      </c>
      <c r="G26" s="2">
        <f t="shared" si="32"/>
        <v>86.074536970411984</v>
      </c>
      <c r="H26" s="2">
        <f t="shared" si="32"/>
        <v>82.470720623588093</v>
      </c>
      <c r="I26" s="2">
        <f t="shared" si="32"/>
        <v>79.357916316244797</v>
      </c>
      <c r="J26" s="2">
        <f t="shared" si="32"/>
        <v>75.767077438888919</v>
      </c>
      <c r="K26" s="2">
        <f t="shared" si="32"/>
        <v>71.933344164370538</v>
      </c>
      <c r="L26" s="2">
        <f t="shared" si="32"/>
        <v>68.348719697069811</v>
      </c>
      <c r="M26" s="2">
        <f t="shared" si="32"/>
        <v>64.532409197176008</v>
      </c>
      <c r="N26" s="2">
        <f t="shared" si="32"/>
        <v>60.964183770908441</v>
      </c>
      <c r="O26" s="2">
        <f t="shared" si="32"/>
        <v>57.165126936560938</v>
      </c>
      <c r="P26" s="2">
        <f t="shared" si="32"/>
        <v>53.613132287793633</v>
      </c>
      <c r="Q26" s="2">
        <f t="shared" si="32"/>
        <v>49.831161696777201</v>
      </c>
      <c r="R26" s="2">
        <f t="shared" si="32"/>
        <v>46.305534057307398</v>
      </c>
      <c r="S26" s="2">
        <f t="shared" si="32"/>
        <v>42.550266950401138</v>
      </c>
      <c r="T26" s="2">
        <f t="shared" si="32"/>
        <v>38.576811390297017</v>
      </c>
      <c r="U26" s="2">
        <f t="shared" si="32"/>
        <v>34.140863953063842</v>
      </c>
      <c r="V26" s="2">
        <f t="shared" si="32"/>
        <v>29.017606816397112</v>
      </c>
      <c r="W26" s="2">
        <f t="shared" si="32"/>
        <v>22.73748357104752</v>
      </c>
      <c r="X26" s="2">
        <f t="shared" si="32"/>
        <v>16.015767984178197</v>
      </c>
      <c r="Y26" s="2">
        <f t="shared" si="32"/>
        <v>9.8006539329897002</v>
      </c>
      <c r="Z26" s="2">
        <f t="shared" si="32"/>
        <v>4.7990978464233427</v>
      </c>
      <c r="AA26" s="2">
        <f t="shared" si="32"/>
        <v>0.53203897690953639</v>
      </c>
      <c r="AB26" s="2">
        <f t="shared" si="32"/>
        <v>0</v>
      </c>
      <c r="AC26" s="2">
        <f t="shared" si="32"/>
        <v>0</v>
      </c>
      <c r="AD26" s="2">
        <f t="shared" si="32"/>
        <v>0</v>
      </c>
      <c r="AE26" s="2">
        <f t="shared" si="32"/>
        <v>0</v>
      </c>
      <c r="AF26" s="2">
        <f t="shared" si="32"/>
        <v>0</v>
      </c>
      <c r="AG26" s="2">
        <f t="shared" si="32"/>
        <v>0</v>
      </c>
      <c r="AH26" s="2">
        <f t="shared" si="32"/>
        <v>0</v>
      </c>
    </row>
  </sheetData>
  <sheetProtection algorithmName="SHA-512" hashValue="AsGsWQiDDId8eG4+94Ef+WGKi873W3pTPmWQCJRaDniAeAjaZoGT3orj2P2l7qqVFzy4G/2m4y0P26ECPxZAUg==" saltValue="pLIofThZkjSAulH5710tT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53</vt:i4>
      </vt:variant>
    </vt:vector>
  </HeadingPairs>
  <TitlesOfParts>
    <vt:vector size="56" baseType="lpstr">
      <vt:lpstr>Constants</vt:lpstr>
      <vt:lpstr>Daily</vt:lpstr>
      <vt:lpstr>Critical Month</vt:lpstr>
      <vt:lpstr>AprDailyLossAbs</vt:lpstr>
      <vt:lpstr>AprDailyLossPct</vt:lpstr>
      <vt:lpstr>AprPowerUse</vt:lpstr>
      <vt:lpstr>AprSunHours</vt:lpstr>
      <vt:lpstr>AugDailyLossAbs</vt:lpstr>
      <vt:lpstr>AugDailyLossPct</vt:lpstr>
      <vt:lpstr>AugPowerUse</vt:lpstr>
      <vt:lpstr>AugSunHours</vt:lpstr>
      <vt:lpstr>DecDailyLossAbs</vt:lpstr>
      <vt:lpstr>DecDailyLossPct</vt:lpstr>
      <vt:lpstr>DecPowerUse</vt:lpstr>
      <vt:lpstr>DecSunHours</vt:lpstr>
      <vt:lpstr>FebDailyLossAbs</vt:lpstr>
      <vt:lpstr>FebDailyLossPct</vt:lpstr>
      <vt:lpstr>FebPowerUse</vt:lpstr>
      <vt:lpstr>FebSunHours</vt:lpstr>
      <vt:lpstr>JanDailyLossAbs</vt:lpstr>
      <vt:lpstr>JanDailyLossPct</vt:lpstr>
      <vt:lpstr>JanPowerUse</vt:lpstr>
      <vt:lpstr>JanSunHours</vt:lpstr>
      <vt:lpstr>JulDailyLossAbs</vt:lpstr>
      <vt:lpstr>JulDailyLossPct</vt:lpstr>
      <vt:lpstr>JulPowerUse</vt:lpstr>
      <vt:lpstr>JulSunHours</vt:lpstr>
      <vt:lpstr>JunDailyLossAbs</vt:lpstr>
      <vt:lpstr>JunDailyLossPct</vt:lpstr>
      <vt:lpstr>JunPowerUse</vt:lpstr>
      <vt:lpstr>JunSunHours</vt:lpstr>
      <vt:lpstr>MarDailyLossAbs</vt:lpstr>
      <vt:lpstr>MarDailyLossPct</vt:lpstr>
      <vt:lpstr>MarPowerUse</vt:lpstr>
      <vt:lpstr>MarSunHours</vt:lpstr>
      <vt:lpstr>MaxPowerStore</vt:lpstr>
      <vt:lpstr>MayDailyLossAbs</vt:lpstr>
      <vt:lpstr>MayDailyLossPct</vt:lpstr>
      <vt:lpstr>MayPowerUse</vt:lpstr>
      <vt:lpstr>MaySunHours</vt:lpstr>
      <vt:lpstr>MinWastedPower</vt:lpstr>
      <vt:lpstr>NovDailyLossAbs</vt:lpstr>
      <vt:lpstr>NovDailyLossPct</vt:lpstr>
      <vt:lpstr>NovPowerUse</vt:lpstr>
      <vt:lpstr>NovSunHours</vt:lpstr>
      <vt:lpstr>OctDailyLossAbs</vt:lpstr>
      <vt:lpstr>OctDailyLossPct</vt:lpstr>
      <vt:lpstr>OctPowerUse</vt:lpstr>
      <vt:lpstr>OctSunHours</vt:lpstr>
      <vt:lpstr>RoundtripEfficiency</vt:lpstr>
      <vt:lpstr>SepDailyLossAbs</vt:lpstr>
      <vt:lpstr>SepDailyLossPct</vt:lpstr>
      <vt:lpstr>SepPowerUse</vt:lpstr>
      <vt:lpstr>SepSunHours</vt:lpstr>
      <vt:lpstr>SolarEfficiency</vt:lpstr>
      <vt:lpstr>SolarMaxGenCap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Solar Power Worksheets</dc:subject>
  <dc:creator/>
  <cp:lastModifiedBy/>
  <dcterms:created xsi:type="dcterms:W3CDTF">2014-05-12T23:28:43Z</dcterms:created>
  <dcterms:modified xsi:type="dcterms:W3CDTF">2014-05-12T23:44:02Z</dcterms:modified>
</cp:coreProperties>
</file>